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COMERCIAL 2020\COMERCIAL 2020\LICITAÇÕES\2025\01. JANEIRO\31.01 - FORÇA NACIONAL DF\DILIGENCIA 04-02-2025\"/>
    </mc:Choice>
  </mc:AlternateContent>
  <xr:revisionPtr revIDLastSave="0" documentId="13_ncr:1_{219C7FBB-E46E-42C1-B7C2-4127DD648559}" xr6:coauthVersionLast="47" xr6:coauthVersionMax="47" xr10:uidLastSave="{00000000-0000-0000-0000-000000000000}"/>
  <bookViews>
    <workbookView xWindow="-120" yWindow="-120" windowWidth="29040" windowHeight="15840" tabRatio="872" xr2:uid="{00000000-000D-0000-FFFF-FFFF00000000}"/>
  </bookViews>
  <sheets>
    <sheet name="COMPOSIÇÃO UNITÁRIA" sheetId="268" r:id="rId1"/>
    <sheet name="BDI ITEM 8" sheetId="255" r:id="rId2"/>
    <sheet name="APURAÇÃO PIS.COFINS PALMACEA" sheetId="271" r:id="rId3"/>
  </sheets>
  <externalReferences>
    <externalReference r:id="rId4"/>
  </externalReferences>
  <definedNames>
    <definedName name="_xlnm.Print_Area" localSheetId="0">'COMPOSIÇÃO UNITÁRIA'!$A$6:$J$18</definedName>
    <definedName name="Desoneração" localSheetId="0">'[1]Parâmetros (não excluir)'!$F$1:$F$2</definedName>
    <definedName name="Desoneração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PERICULOSIDADE" localSheetId="0">'[1]Parâmetros (não excluir)'!$Y$2:$Y$3</definedName>
    <definedName name="PERICULOSIDADE">#REF!</definedName>
    <definedName name="PisCofins" comment="Seleção do regime tributário da licitante para o Pis/Cofins" localSheetId="0">'[1]Parâmetros (não excluir)'!$A$1:$A$3</definedName>
    <definedName name="PisCofins" comment="Seleção do regime tributário da licitante para o Pis/Cofins">#REF!</definedName>
    <definedName name="Regravt" localSheetId="0">'[1]Parâmetros (não excluir)'!$Z$34:$Z$37</definedName>
    <definedName name="Regravt">#REF!</definedName>
  </definedNames>
  <calcPr calcId="191029"/>
</workbook>
</file>

<file path=xl/calcChain.xml><?xml version="1.0" encoding="utf-8"?>
<calcChain xmlns="http://schemas.openxmlformats.org/spreadsheetml/2006/main">
  <c r="J72" i="268" l="1"/>
  <c r="F69" i="268"/>
  <c r="J65" i="268"/>
  <c r="D82" i="268"/>
  <c r="D78" i="268"/>
  <c r="D77" i="268"/>
  <c r="G14" i="268" l="1"/>
  <c r="H14" i="268" s="1"/>
  <c r="I14" i="268" s="1"/>
  <c r="G13" i="268"/>
  <c r="H13" i="268" s="1"/>
  <c r="I13" i="268" s="1"/>
  <c r="J14" i="268" l="1"/>
  <c r="J13" i="268"/>
  <c r="G12" i="268" l="1"/>
  <c r="H12" i="268" s="1"/>
  <c r="I12" i="268" s="1"/>
  <c r="G64" i="268"/>
  <c r="H64" i="268" s="1"/>
  <c r="G39" i="268"/>
  <c r="H39" i="268" s="1"/>
  <c r="B16" i="255"/>
  <c r="C35" i="271"/>
  <c r="D35" i="271" s="1"/>
  <c r="F35" i="271" s="1"/>
  <c r="G35" i="271" s="1"/>
  <c r="D34" i="271"/>
  <c r="F34" i="271" s="1"/>
  <c r="G34" i="271" s="1"/>
  <c r="C34" i="271"/>
  <c r="C33" i="271"/>
  <c r="D33" i="271" s="1"/>
  <c r="F33" i="271" s="1"/>
  <c r="G33" i="271" s="1"/>
  <c r="D32" i="271"/>
  <c r="F32" i="271" s="1"/>
  <c r="G32" i="271" s="1"/>
  <c r="C32" i="271"/>
  <c r="C31" i="271"/>
  <c r="D31" i="271" s="1"/>
  <c r="F31" i="271" s="1"/>
  <c r="G31" i="271" s="1"/>
  <c r="D30" i="271"/>
  <c r="F30" i="271" s="1"/>
  <c r="G30" i="271" s="1"/>
  <c r="C30" i="271"/>
  <c r="C29" i="271"/>
  <c r="D29" i="271" s="1"/>
  <c r="F29" i="271" s="1"/>
  <c r="G29" i="271" s="1"/>
  <c r="D28" i="271"/>
  <c r="F28" i="271" s="1"/>
  <c r="G28" i="271" s="1"/>
  <c r="C28" i="271"/>
  <c r="C27" i="271"/>
  <c r="D27" i="271" s="1"/>
  <c r="F27" i="271" s="1"/>
  <c r="G27" i="271" s="1"/>
  <c r="D26" i="271"/>
  <c r="F26" i="271" s="1"/>
  <c r="G26" i="271" s="1"/>
  <c r="C26" i="271"/>
  <c r="C25" i="271"/>
  <c r="D25" i="271" s="1"/>
  <c r="F25" i="271" s="1"/>
  <c r="G25" i="271" s="1"/>
  <c r="D24" i="271"/>
  <c r="F24" i="271" s="1"/>
  <c r="G24" i="271" s="1"/>
  <c r="C24" i="271"/>
  <c r="D19" i="271"/>
  <c r="F19" i="271" s="1"/>
  <c r="G19" i="271" s="1"/>
  <c r="D18" i="271"/>
  <c r="F18" i="271" s="1"/>
  <c r="G18" i="271" s="1"/>
  <c r="F17" i="271"/>
  <c r="G17" i="271" s="1"/>
  <c r="D17" i="271"/>
  <c r="D16" i="271"/>
  <c r="F16" i="271" s="1"/>
  <c r="G16" i="271" s="1"/>
  <c r="F15" i="271"/>
  <c r="G15" i="271" s="1"/>
  <c r="D15" i="271"/>
  <c r="G14" i="271"/>
  <c r="F14" i="271"/>
  <c r="D14" i="271"/>
  <c r="D13" i="271"/>
  <c r="F13" i="271" s="1"/>
  <c r="G13" i="271" s="1"/>
  <c r="D12" i="271"/>
  <c r="F12" i="271" s="1"/>
  <c r="G12" i="271" s="1"/>
  <c r="D11" i="271"/>
  <c r="F11" i="271" s="1"/>
  <c r="G11" i="271" s="1"/>
  <c r="D10" i="271"/>
  <c r="F10" i="271" s="1"/>
  <c r="G10" i="271" s="1"/>
  <c r="F9" i="271"/>
  <c r="G9" i="271" s="1"/>
  <c r="D9" i="271"/>
  <c r="D8" i="271"/>
  <c r="F8" i="271" s="1"/>
  <c r="G8" i="271" s="1"/>
  <c r="I64" i="268" l="1"/>
  <c r="J64" i="268" s="1"/>
  <c r="I39" i="268"/>
  <c r="J39" i="268" s="1"/>
  <c r="G20" i="271"/>
  <c r="G36" i="271"/>
  <c r="E4" i="271" l="1"/>
  <c r="G63" i="268" l="1"/>
  <c r="H63" i="268" s="1"/>
  <c r="F62" i="268"/>
  <c r="J69" i="268"/>
  <c r="F49" i="268"/>
  <c r="J49" i="268" s="1"/>
  <c r="I63" i="268" l="1"/>
  <c r="J63" i="268" s="1"/>
  <c r="E44" i="268"/>
  <c r="J70" i="268"/>
  <c r="G62" i="268"/>
  <c r="H62" i="268" s="1"/>
  <c r="I62" i="268" l="1"/>
  <c r="J62" i="268" s="1"/>
  <c r="J73" i="268" s="1"/>
  <c r="E82" i="268" l="1"/>
  <c r="F82" i="268" s="1"/>
  <c r="G38" i="268"/>
  <c r="G11" i="268"/>
  <c r="H11" i="268" s="1"/>
  <c r="I11" i="268" s="1"/>
  <c r="D48" i="268"/>
  <c r="F44" i="268"/>
  <c r="G44" i="268" s="1"/>
  <c r="I44" i="268" s="1"/>
  <c r="J44" i="268" s="1"/>
  <c r="J45" i="268" s="1"/>
  <c r="E19" i="268"/>
  <c r="H38" i="268" l="1"/>
  <c r="I38" i="268" s="1"/>
  <c r="J38" i="268" s="1"/>
  <c r="J40" i="268" s="1"/>
  <c r="F48" i="268"/>
  <c r="J48" i="268" s="1"/>
  <c r="F25" i="268"/>
  <c r="J25" i="268" s="1"/>
  <c r="F24" i="268"/>
  <c r="J24" i="268" s="1"/>
  <c r="G19" i="268"/>
  <c r="I19" i="268" s="1"/>
  <c r="J19" i="268" s="1"/>
  <c r="J20" i="268" s="1"/>
  <c r="J12" i="268"/>
  <c r="J11" i="268" l="1"/>
  <c r="J15" i="268" s="1"/>
  <c r="J26" i="268"/>
  <c r="J50" i="268"/>
  <c r="J52" i="268" s="1"/>
  <c r="J28" i="268" l="1"/>
  <c r="J29" i="268" s="1"/>
  <c r="J53" i="268"/>
  <c r="E78" i="268" l="1"/>
  <c r="F78" i="268" s="1"/>
  <c r="E77" i="268"/>
  <c r="F77" i="268" s="1"/>
  <c r="B19" i="255"/>
  <c r="J88" i="268" s="1"/>
  <c r="B84" i="268" l="1"/>
  <c r="B85" i="268" s="1"/>
  <c r="J87" i="268" s="1"/>
  <c r="J89" i="268" s="1"/>
  <c r="J90" i="268" l="1"/>
  <c r="J91" i="268" s="1"/>
  <c r="J92" i="26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Departamento de lici</author>
  </authors>
  <commentList>
    <comment ref="E24" authorId="0" shapeId="0" xr:uid="{36369508-BE90-4FCF-8259-98D11359268E}">
      <text>
        <r>
          <rPr>
            <b/>
            <sz val="9"/>
            <color indexed="81"/>
            <rFont val="Segoe UI"/>
            <family val="2"/>
          </rPr>
          <t>Departamento de lici:</t>
        </r>
        <r>
          <rPr>
            <sz val="9"/>
            <color indexed="81"/>
            <rFont val="Segoe UI"/>
            <family val="2"/>
          </rPr>
          <t xml:space="preserve">
FONTE: SINAPI DF 12/2024 CÓDIGO 88297</t>
        </r>
      </text>
    </comment>
    <comment ref="E25" authorId="0" shapeId="0" xr:uid="{9F22AA26-3984-41EC-AB20-3DF188EED86D}">
      <text>
        <r>
          <rPr>
            <b/>
            <sz val="9"/>
            <color indexed="81"/>
            <rFont val="Segoe UI"/>
            <family val="2"/>
          </rPr>
          <t>Departamento de lici:</t>
        </r>
        <r>
          <rPr>
            <sz val="9"/>
            <color indexed="81"/>
            <rFont val="Segoe UI"/>
            <family val="2"/>
          </rPr>
          <t xml:space="preserve">
FONTE: SINAPI DF 12/2024 - CÓDIGO 88316</t>
        </r>
      </text>
    </comment>
    <comment ref="E48" authorId="0" shapeId="0" xr:uid="{2785E0EB-B706-480F-B333-6928F713042C}">
      <text>
        <r>
          <rPr>
            <b/>
            <sz val="9"/>
            <color indexed="81"/>
            <rFont val="Segoe UI"/>
            <family val="2"/>
          </rPr>
          <t>Departamento de lici:</t>
        </r>
        <r>
          <rPr>
            <sz val="9"/>
            <color indexed="81"/>
            <rFont val="Segoe UI"/>
            <family val="2"/>
          </rPr>
          <t xml:space="preserve">
FONTE: SINAPI DF 12/2024 CÓDIGO 88297</t>
        </r>
      </text>
    </comment>
    <comment ref="E49" authorId="0" shapeId="0" xr:uid="{6AD6FE8F-61B5-4050-AC2F-6C81393D7D2C}">
      <text>
        <r>
          <rPr>
            <b/>
            <sz val="9"/>
            <color indexed="81"/>
            <rFont val="Segoe UI"/>
            <family val="2"/>
          </rPr>
          <t>Departamento de lici:</t>
        </r>
        <r>
          <rPr>
            <sz val="9"/>
            <color indexed="81"/>
            <rFont val="Segoe UI"/>
            <family val="2"/>
          </rPr>
          <t xml:space="preserve">
FONTE: SINAPI DF 12/2024 - CÓDIGO 88316</t>
        </r>
      </text>
    </comment>
    <comment ref="E69" authorId="0" shapeId="0" xr:uid="{11199D65-A11A-403A-8BCC-6FD3202EEE01}">
      <text>
        <r>
          <rPr>
            <b/>
            <sz val="9"/>
            <color indexed="81"/>
            <rFont val="Segoe UI"/>
            <family val="2"/>
          </rPr>
          <t>Departamento de lici:</t>
        </r>
        <r>
          <rPr>
            <sz val="9"/>
            <color indexed="81"/>
            <rFont val="Segoe UI"/>
            <family val="2"/>
          </rPr>
          <t xml:space="preserve">
FONTE: SINAPI DF 12/2024 CÓDIGO 88441</t>
        </r>
      </text>
    </comment>
  </commentList>
</comments>
</file>

<file path=xl/sharedStrings.xml><?xml version="1.0" encoding="utf-8"?>
<sst xmlns="http://schemas.openxmlformats.org/spreadsheetml/2006/main" count="226" uniqueCount="115">
  <si>
    <t>A</t>
  </si>
  <si>
    <t>C</t>
  </si>
  <si>
    <t>EQUIPAMENTOS</t>
  </si>
  <si>
    <t>UNIDADE</t>
  </si>
  <si>
    <t>DESCRIÇÃO</t>
  </si>
  <si>
    <t>VALOR UNITÁRIO (R$)</t>
  </si>
  <si>
    <t>REF</t>
  </si>
  <si>
    <t>UN</t>
  </si>
  <si>
    <t xml:space="preserve">UN </t>
  </si>
  <si>
    <t>CUSTO TOTAL / HORA PRODUTIVA - CHP</t>
  </si>
  <si>
    <t xml:space="preserve">COMPOSIÇÃO </t>
  </si>
  <si>
    <t>TRIBUTOS</t>
  </si>
  <si>
    <t>ISS= 5%</t>
  </si>
  <si>
    <t xml:space="preserve">PARÂMETROS PARA CÁLCULO DO BDI </t>
  </si>
  <si>
    <t xml:space="preserve">ITENS ADMISSÍVEIS </t>
  </si>
  <si>
    <t>ADM. CENTRAL (AC)</t>
  </si>
  <si>
    <t>SEGURO GARANTIA (S+G)</t>
  </si>
  <si>
    <t xml:space="preserve">RISCO (R) </t>
  </si>
  <si>
    <t xml:space="preserve">DESPESAS FINANCEIRAS (DF) </t>
  </si>
  <si>
    <t>LUCRO (L)</t>
  </si>
  <si>
    <t xml:space="preserve">TRIBUTOS (T) </t>
  </si>
  <si>
    <t>INSS ONERAÇÃO (E)</t>
  </si>
  <si>
    <t>BDI CALCULADO</t>
  </si>
  <si>
    <t>COMPOSIÇÃO</t>
  </si>
  <si>
    <t xml:space="preserve">DEPRECIAÇÃO (MESES) </t>
  </si>
  <si>
    <t>GASOLINA</t>
  </si>
  <si>
    <t xml:space="preserve">LITRO </t>
  </si>
  <si>
    <t>QUANT</t>
  </si>
  <si>
    <t xml:space="preserve">CUSTO TOTAL POR HORA </t>
  </si>
  <si>
    <t xml:space="preserve">QUANT DE CONSUMO DIÁRIO </t>
  </si>
  <si>
    <t xml:space="preserve">VALOR POR DIA (22 DIAS UTEIS) </t>
  </si>
  <si>
    <t xml:space="preserve">CUSTO COMBUSTÍVEL </t>
  </si>
  <si>
    <t xml:space="preserve">CUSTO MÃO DE OBRA </t>
  </si>
  <si>
    <t xml:space="preserve">HORAS </t>
  </si>
  <si>
    <t xml:space="preserve">VALOR UNITÁRIO </t>
  </si>
  <si>
    <t>VALOR UNITÁRIO GASOLINA (R$)</t>
  </si>
  <si>
    <t>CUSTO TOTAL POR HORA (R$/H)</t>
  </si>
  <si>
    <t xml:space="preserve">VALOR TOTAL </t>
  </si>
  <si>
    <t xml:space="preserve">TRANSPORTE GIRO ZERO </t>
  </si>
  <si>
    <t xml:space="preserve">ROÇADEIRA COSTAL </t>
  </si>
  <si>
    <t>QUANTIDADE DE CONSUMO POR HORA ( 8 HORAS UTEIS POR DIA)</t>
  </si>
  <si>
    <t xml:space="preserve">EQUIPE </t>
  </si>
  <si>
    <t xml:space="preserve">EQUIPE ROÇADEIRA COSTAL </t>
  </si>
  <si>
    <t>QTDE HORAS</t>
  </si>
  <si>
    <t>METRAGEM</t>
  </si>
  <si>
    <t xml:space="preserve">OPERADOR DE MÁQUINAS E EQUIPAMENTOS COM ENCARGOS COMPLEMENTARES </t>
  </si>
  <si>
    <t>MANUTENÇÃO DOS JARDINS E IRRIGAÇÃO</t>
  </si>
  <si>
    <t>MANGUEIRA SANTENO</t>
  </si>
  <si>
    <t>ASPERSORES</t>
  </si>
  <si>
    <t xml:space="preserve">SERVENTE COM ENCARGOS COMPLEMENTARES </t>
  </si>
  <si>
    <t>JARDINEIRO COM ENCARGOS COMPLEMENTARES</t>
  </si>
  <si>
    <t>PRODUTIVIDADE</t>
  </si>
  <si>
    <t>ÁREA DE EXECUÇÃO</t>
  </si>
  <si>
    <t>PROPORÇÃO</t>
  </si>
  <si>
    <t>ÁREA A SER EXECUTADA</t>
  </si>
  <si>
    <t>METRO</t>
  </si>
  <si>
    <t>UN IDADE</t>
  </si>
  <si>
    <t xml:space="preserve">EQUIPE GIRO ZERO </t>
  </si>
  <si>
    <t>ITEM 8</t>
  </si>
  <si>
    <t>GIRO ZERO MZ54</t>
  </si>
  <si>
    <t>CUSTO TOTAL POR M²</t>
  </si>
  <si>
    <t>CALCULO DO BDI - ITEM 08</t>
  </si>
  <si>
    <t>EMPREENDIMENTO: Ministério da Justiça e Segurança Pública e Departamento da Força Nacional</t>
  </si>
  <si>
    <t>PLANILHA TRIBUTOS (2023/2024)</t>
  </si>
  <si>
    <r>
      <t>1.</t>
    </r>
    <r>
      <rPr>
        <sz val="7"/>
        <rFont val="Times New Roman"/>
        <family val="1"/>
      </rPr>
      <t xml:space="preserve">       </t>
    </r>
    <r>
      <rPr>
        <sz val="11"/>
        <rFont val="Calibri"/>
        <family val="2"/>
      </rPr>
      <t>Apuração dos percentuais de PIS e COFINS (somente para empresas tributadas pelo lucro real)</t>
    </r>
  </si>
  <si>
    <r>
      <t xml:space="preserve">Apuração do percentual médio de recolhimento do </t>
    </r>
    <r>
      <rPr>
        <b/>
        <sz val="10"/>
        <rFont val="Arial"/>
        <family val="2"/>
      </rPr>
      <t>PIS</t>
    </r>
  </si>
  <si>
    <t>Mês</t>
  </si>
  <si>
    <t>Faturamento mensal</t>
  </si>
  <si>
    <t>Contribuição apurada</t>
  </si>
  <si>
    <t>Crédito Descontado</t>
  </si>
  <si>
    <t>Contribuição Devida</t>
  </si>
  <si>
    <t>Percentual Efetivo</t>
  </si>
  <si>
    <t>B = A * 1,65%</t>
  </si>
  <si>
    <t>D = B - C</t>
  </si>
  <si>
    <t>E =  D/A</t>
  </si>
  <si>
    <t>Percentual médio do período</t>
  </si>
  <si>
    <r>
      <t xml:space="preserve">Apuração do percentual médio de recolhimento do </t>
    </r>
    <r>
      <rPr>
        <b/>
        <sz val="10"/>
        <rFont val="Arial"/>
        <family val="2"/>
      </rPr>
      <t>COFINS</t>
    </r>
  </si>
  <si>
    <t>COFINS= 5,29%</t>
  </si>
  <si>
    <t>PIS= 1,15%</t>
  </si>
  <si>
    <t>VALOR POR MÊS DEPRECIADO EM MESES  (R$)</t>
  </si>
  <si>
    <t>CUSTO POR HORA</t>
  </si>
  <si>
    <t>BIG BAG</t>
  </si>
  <si>
    <t>CUSTO UNITÁRIO TOTAL COM BDI</t>
  </si>
  <si>
    <t>CUSTO MENSAL TOTAL COM BDI</t>
  </si>
  <si>
    <t>CUSTO ANUAL TOTAL COM BDI</t>
  </si>
  <si>
    <t>CUSTO 05 ANOS TOTAL COM BDI</t>
  </si>
  <si>
    <t xml:space="preserve">QTD DE DIAS </t>
  </si>
  <si>
    <t>EQUIPAMENTO</t>
  </si>
  <si>
    <t xml:space="preserve">GIRO ZERO </t>
  </si>
  <si>
    <t>ROÇADEIRA</t>
  </si>
  <si>
    <t>IRRIGAÇÃO</t>
  </si>
  <si>
    <t>VALOR DEPRECIADO EM HORAS (R$)</t>
  </si>
  <si>
    <t xml:space="preserve">VALOR POR DIA (21 DIAS UTEIS) </t>
  </si>
  <si>
    <t>TOTAL</t>
  </si>
  <si>
    <t>EQUIPE JARDINAGEM</t>
  </si>
  <si>
    <t xml:space="preserve">BIG BAG </t>
  </si>
  <si>
    <t>RASTELO</t>
  </si>
  <si>
    <t>CUSTO TOTAL POR M²  (MÉDIA)</t>
  </si>
  <si>
    <t xml:space="preserve">CUSTO PARA EXECUÇÃO POR M² </t>
  </si>
  <si>
    <t>CUSTO TOTAL</t>
  </si>
  <si>
    <t>TOTAL PARA EXECUÇÃO DOS SERVIÇOS</t>
  </si>
  <si>
    <t>CUSTO PARA EXECUÇÃO POR M² (MÉDIA)</t>
  </si>
  <si>
    <t>ITEM 9</t>
  </si>
  <si>
    <t>BDI</t>
  </si>
  <si>
    <r>
      <t xml:space="preserve">Manutenção e conservação de áreas de gramado do Batalhão Escola e Pronto Emprego da Força Nacional no Gama/DF. </t>
    </r>
    <r>
      <rPr>
        <b/>
        <sz val="16"/>
        <color rgb="FFFF0000"/>
        <rFont val="Calibri"/>
        <family val="2"/>
        <scheme val="minor"/>
      </rPr>
      <t>(ROÇAGEM)</t>
    </r>
  </si>
  <si>
    <r>
      <t xml:space="preserve">Manutenção e conservação de áreas de gramado do Batalhão Escola e Pronto Emprego da Força Nacional no Gama/DF. </t>
    </r>
    <r>
      <rPr>
        <b/>
        <sz val="16"/>
        <color rgb="FFFF0000"/>
        <rFont val="Calibri"/>
        <family val="2"/>
        <scheme val="minor"/>
      </rPr>
      <t>(MANUTENÇÃO DE JARDINS)</t>
    </r>
  </si>
  <si>
    <t>Composição de custos para a manutenção e conservação de áreas de gramado do Batalhão Escola e Pronto Emprego da Força Nacional no Gama/DF. (ITEM 8)</t>
  </si>
  <si>
    <t>QUADRO INFORMATIVO</t>
  </si>
  <si>
    <t>VALOR UNITÁRIO HORA (R$)</t>
  </si>
  <si>
    <t>SINAPI DF 12/2024 CÓDIGO 88297</t>
  </si>
  <si>
    <t>FONTE: SINAPI DF 12/2024 - CÓDIGO 88316</t>
  </si>
  <si>
    <t>UM</t>
  </si>
  <si>
    <t>CUSTO INSUMOS/FERRAMENTAS E EQUIPAMENTOS</t>
  </si>
  <si>
    <t>COMPOSIÇÃO DE ROÇAGEM COM ROÇADEIRA</t>
  </si>
  <si>
    <t>COMPOSIÇÃO DE ROÇAGEM COM GIRO ZERO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</si>
</sst>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_(&quot;R$&quot;* #,##0.00_);_(&quot;R$&quot;* \(#,##0.00\);_(&quot;R$&quot;* &quot;-&quot;??_);_(@_)"/>
    <numFmt numFmtId="166" formatCode="_(* #,##0.00_);_(* \(#,##0.00\);_(* &quot;-&quot;??_);_(@_)"/>
    <numFmt numFmtId="167" formatCode="_(&quot;R$ &quot;* #,##0.00_);_(&quot;R$ &quot;* \(#,##0.00\);_(&quot;R$ &quot;* &quot;-&quot;??_);_(@_)"/>
    <numFmt numFmtId="168" formatCode="_([$€-2]* #,##0.00_);_([$€-2]* \(#,##0.00\);_([$€-2]* &quot;-&quot;??_)"/>
    <numFmt numFmtId="169" formatCode="0.0000000"/>
    <numFmt numFmtId="170" formatCode="_-[$R$-416]\ * #,##0.00_-;\-[$R$-416]\ * #,##0.00_-;_-[$R$-416]\ 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Verdana"/>
      <family val="2"/>
    </font>
    <font>
      <sz val="11"/>
      <name val="Calibri"/>
      <family val="2"/>
    </font>
    <font>
      <sz val="7"/>
      <name val="Times New Roman"/>
      <family val="1"/>
    </font>
    <font>
      <sz val="11"/>
      <name val="Times New Roman"/>
      <family val="1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0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9" fontId="3" fillId="0" borderId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9" fontId="3" fillId="0" borderId="0"/>
    <xf numFmtId="0" fontId="3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8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166" fontId="3" fillId="0" borderId="0" applyFill="0" applyBorder="0" applyAlignment="0" applyProtection="0"/>
    <xf numFmtId="9" fontId="3" fillId="0" borderId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2" fillId="0" borderId="0"/>
    <xf numFmtId="167" fontId="16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22">
    <xf numFmtId="0" fontId="0" fillId="0" borderId="0" xfId="0"/>
    <xf numFmtId="9" fontId="0" fillId="0" borderId="0" xfId="1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44" fontId="0" fillId="0" borderId="1" xfId="76" applyFont="1" applyBorder="1" applyAlignment="1">
      <alignment vertical="center"/>
    </xf>
    <xf numFmtId="0" fontId="0" fillId="3" borderId="1" xfId="0" applyFill="1" applyBorder="1" applyAlignment="1">
      <alignment vertical="center"/>
    </xf>
    <xf numFmtId="44" fontId="0" fillId="3" borderId="1" xfId="0" applyNumberFormat="1" applyFill="1" applyBorder="1" applyAlignment="1">
      <alignment vertical="center"/>
    </xf>
    <xf numFmtId="44" fontId="0" fillId="0" borderId="0" xfId="0" applyNumberFormat="1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/>
    <xf numFmtId="10" fontId="0" fillId="5" borderId="1" xfId="1" applyNumberFormat="1" applyFont="1" applyFill="1" applyBorder="1"/>
    <xf numFmtId="10" fontId="0" fillId="0" borderId="1" xfId="1" applyNumberFormat="1" applyFont="1" applyBorder="1"/>
    <xf numFmtId="0" fontId="11" fillId="5" borderId="1" xfId="0" applyFont="1" applyFill="1" applyBorder="1"/>
    <xf numFmtId="10" fontId="11" fillId="5" borderId="1" xfId="0" applyNumberFormat="1" applyFont="1" applyFill="1" applyBorder="1"/>
    <xf numFmtId="0" fontId="0" fillId="6" borderId="1" xfId="0" applyFill="1" applyBorder="1" applyAlignment="1">
      <alignment horizontal="center" vertical="center" wrapText="1"/>
    </xf>
    <xf numFmtId="165" fontId="0" fillId="0" borderId="1" xfId="6" applyFont="1" applyBorder="1" applyAlignment="1">
      <alignment horizontal="center" vertical="center"/>
    </xf>
    <xf numFmtId="165" fontId="0" fillId="0" borderId="1" xfId="6" applyFont="1" applyBorder="1" applyAlignment="1">
      <alignment vertical="center"/>
    </xf>
    <xf numFmtId="165" fontId="0" fillId="0" borderId="0" xfId="6" applyFont="1" applyBorder="1" applyAlignment="1">
      <alignment horizontal="center" vertical="center"/>
    </xf>
    <xf numFmtId="165" fontId="0" fillId="0" borderId="0" xfId="6" applyFont="1" applyBorder="1" applyAlignment="1">
      <alignment vertical="center"/>
    </xf>
    <xf numFmtId="44" fontId="0" fillId="0" borderId="0" xfId="76" applyFont="1" applyBorder="1" applyAlignment="1">
      <alignment vertical="center"/>
    </xf>
    <xf numFmtId="0" fontId="0" fillId="6" borderId="5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 wrapText="1"/>
    </xf>
    <xf numFmtId="165" fontId="0" fillId="0" borderId="1" xfId="0" applyNumberFormat="1" applyBorder="1" applyAlignment="1">
      <alignment vertical="center"/>
    </xf>
    <xf numFmtId="0" fontId="0" fillId="4" borderId="1" xfId="0" applyFill="1" applyBorder="1" applyAlignment="1">
      <alignment vertical="center"/>
    </xf>
    <xf numFmtId="165" fontId="0" fillId="4" borderId="1" xfId="6" applyFont="1" applyFill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9" fontId="0" fillId="0" borderId="0" xfId="0" applyNumberFormat="1" applyAlignment="1">
      <alignment vertical="center"/>
    </xf>
    <xf numFmtId="10" fontId="0" fillId="0" borderId="0" xfId="1" applyNumberFormat="1" applyFont="1" applyAlignment="1">
      <alignment vertical="center"/>
    </xf>
    <xf numFmtId="0" fontId="0" fillId="0" borderId="0" xfId="0" applyAlignment="1">
      <alignment vertical="center" wrapText="1"/>
    </xf>
    <xf numFmtId="10" fontId="0" fillId="0" borderId="0" xfId="0" applyNumberFormat="1" applyAlignment="1">
      <alignment vertical="center"/>
    </xf>
    <xf numFmtId="0" fontId="11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0" fontId="0" fillId="4" borderId="1" xfId="0" applyNumberForma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0" fontId="12" fillId="0" borderId="0" xfId="77"/>
    <xf numFmtId="0" fontId="14" fillId="0" borderId="0" xfId="77" applyFont="1" applyAlignment="1">
      <alignment horizontal="center"/>
    </xf>
    <xf numFmtId="10" fontId="14" fillId="0" borderId="0" xfId="77" applyNumberFormat="1" applyFont="1" applyAlignment="1">
      <alignment horizontal="center"/>
    </xf>
    <xf numFmtId="0" fontId="3" fillId="3" borderId="1" xfId="77" applyFont="1" applyFill="1" applyBorder="1" applyAlignment="1">
      <alignment horizontal="center"/>
    </xf>
    <xf numFmtId="0" fontId="3" fillId="3" borderId="1" xfId="77" applyFont="1" applyFill="1" applyBorder="1"/>
    <xf numFmtId="0" fontId="3" fillId="2" borderId="1" xfId="77" applyFont="1" applyFill="1" applyBorder="1" applyAlignment="1">
      <alignment horizontal="center"/>
    </xf>
    <xf numFmtId="17" fontId="3" fillId="0" borderId="1" xfId="77" applyNumberFormat="1" applyFont="1" applyBorder="1" applyAlignment="1">
      <alignment horizontal="center"/>
    </xf>
    <xf numFmtId="167" fontId="3" fillId="0" borderId="1" xfId="78" applyFont="1" applyFill="1" applyBorder="1"/>
    <xf numFmtId="10" fontId="3" fillId="0" borderId="1" xfId="79" applyNumberFormat="1" applyFont="1" applyFill="1" applyBorder="1"/>
    <xf numFmtId="10" fontId="2" fillId="3" borderId="1" xfId="79" applyNumberFormat="1" applyFont="1" applyFill="1" applyBorder="1"/>
    <xf numFmtId="44" fontId="3" fillId="0" borderId="1" xfId="78" applyNumberFormat="1" applyFont="1" applyFill="1" applyBorder="1"/>
    <xf numFmtId="165" fontId="0" fillId="0" borderId="1" xfId="6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3" borderId="1" xfId="77" applyFont="1" applyFill="1" applyBorder="1" applyAlignment="1">
      <alignment horizontal="center"/>
    </xf>
    <xf numFmtId="0" fontId="5" fillId="0" borderId="0" xfId="77" applyFont="1" applyAlignment="1">
      <alignment horizontal="center" vertical="center" wrapText="1"/>
    </xf>
    <xf numFmtId="0" fontId="13" fillId="0" borderId="0" xfId="77" applyFont="1" applyAlignment="1">
      <alignment horizontal="center" vertical="top" wrapText="1"/>
    </xf>
    <xf numFmtId="0" fontId="14" fillId="0" borderId="0" xfId="77" applyFont="1" applyAlignment="1">
      <alignment horizontal="center"/>
    </xf>
    <xf numFmtId="1" fontId="0" fillId="0" borderId="1" xfId="6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44" fontId="11" fillId="3" borderId="1" xfId="0" applyNumberFormat="1" applyFont="1" applyFill="1" applyBorder="1" applyAlignment="1">
      <alignment vertical="center"/>
    </xf>
    <xf numFmtId="165" fontId="0" fillId="0" borderId="3" xfId="6" applyFont="1" applyBorder="1" applyAlignment="1">
      <alignment vertical="center"/>
    </xf>
    <xf numFmtId="44" fontId="0" fillId="0" borderId="3" xfId="76" applyFont="1" applyBorder="1" applyAlignment="1">
      <alignment vertical="center"/>
    </xf>
    <xf numFmtId="44" fontId="11" fillId="0" borderId="4" xfId="76" applyFont="1" applyBorder="1" applyAlignment="1">
      <alignment vertical="center"/>
    </xf>
    <xf numFmtId="44" fontId="0" fillId="0" borderId="1" xfId="0" applyNumberFormat="1" applyBorder="1" applyAlignment="1">
      <alignment horizontal="center" vertical="center" wrapText="1"/>
    </xf>
    <xf numFmtId="170" fontId="0" fillId="0" borderId="1" xfId="0" applyNumberForma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10" fontId="0" fillId="0" borderId="0" xfId="1" applyNumberFormat="1" applyFont="1" applyBorder="1" applyAlignment="1">
      <alignment horizontal="center" vertical="center"/>
    </xf>
    <xf numFmtId="170" fontId="0" fillId="0" borderId="0" xfId="0" applyNumberFormat="1" applyBorder="1" applyAlignment="1">
      <alignment horizontal="center" vertical="center" wrapText="1"/>
    </xf>
    <xf numFmtId="44" fontId="0" fillId="0" borderId="0" xfId="0" applyNumberFormat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44" fontId="19" fillId="0" borderId="1" xfId="0" applyNumberFormat="1" applyFont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165" fontId="11" fillId="0" borderId="3" xfId="6" applyFont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44" fontId="11" fillId="4" borderId="1" xfId="0" applyNumberFormat="1" applyFont="1" applyFill="1" applyBorder="1" applyAlignment="1">
      <alignment vertical="center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165" fontId="0" fillId="0" borderId="1" xfId="6" applyFont="1" applyBorder="1" applyAlignment="1">
      <alignment horizontal="center" vertical="center"/>
    </xf>
    <xf numFmtId="165" fontId="0" fillId="0" borderId="2" xfId="6" applyFont="1" applyBorder="1" applyAlignment="1">
      <alignment horizontal="center" vertical="center"/>
    </xf>
    <xf numFmtId="165" fontId="0" fillId="0" borderId="3" xfId="6" applyFont="1" applyBorder="1" applyAlignment="1">
      <alignment horizontal="center" vertical="center"/>
    </xf>
    <xf numFmtId="165" fontId="0" fillId="0" borderId="4" xfId="6" applyFont="1" applyBorder="1" applyAlignment="1">
      <alignment horizontal="center" vertical="center"/>
    </xf>
    <xf numFmtId="165" fontId="11" fillId="6" borderId="1" xfId="6" applyFont="1" applyFill="1" applyBorder="1" applyAlignment="1">
      <alignment horizontal="center" vertical="center"/>
    </xf>
    <xf numFmtId="44" fontId="11" fillId="6" borderId="1" xfId="76" applyFont="1" applyFill="1" applyBorder="1" applyAlignment="1">
      <alignment horizontal="center" vertical="center"/>
    </xf>
    <xf numFmtId="165" fontId="11" fillId="6" borderId="1" xfId="6" applyFont="1" applyFill="1" applyBorder="1" applyAlignment="1">
      <alignment vertical="center"/>
    </xf>
    <xf numFmtId="44" fontId="11" fillId="6" borderId="1" xfId="76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44" fontId="11" fillId="8" borderId="1" xfId="0" applyNumberFormat="1" applyFont="1" applyFill="1" applyBorder="1" applyAlignment="1">
      <alignment vertical="center"/>
    </xf>
    <xf numFmtId="0" fontId="23" fillId="6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/>
    </xf>
    <xf numFmtId="0" fontId="23" fillId="6" borderId="1" xfId="0" applyFont="1" applyFill="1" applyBorder="1" applyAlignment="1">
      <alignment horizontal="center" vertical="center"/>
    </xf>
    <xf numFmtId="0" fontId="24" fillId="6" borderId="1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20" fillId="6" borderId="1" xfId="0" applyFont="1" applyFill="1" applyBorder="1" applyAlignment="1">
      <alignment horizontal="center" vertical="center" wrapText="1"/>
    </xf>
  </cellXfs>
  <cellStyles count="80">
    <cellStyle name="Euro" xfId="23" xr:uid="{00000000-0005-0000-0000-000000000000}"/>
    <cellStyle name="Moeda" xfId="6" builtinId="4"/>
    <cellStyle name="Moeda 10" xfId="76" xr:uid="{7F803A4C-166F-42E3-B555-31427DF3A0AA}"/>
    <cellStyle name="Moeda 2" xfId="7" xr:uid="{00000000-0005-0000-0000-000003000000}"/>
    <cellStyle name="Moeda 2 2" xfId="17" xr:uid="{00000000-0005-0000-0000-000004000000}"/>
    <cellStyle name="Moeda 2 2 2" xfId="78" xr:uid="{87CB6CA1-CD60-4DD7-9388-1D9974963A14}"/>
    <cellStyle name="Moeda 2 3" xfId="50" xr:uid="{00000000-0005-0000-0000-000005000000}"/>
    <cellStyle name="Moeda 2 4" xfId="10" xr:uid="{00000000-0005-0000-0000-000006000000}"/>
    <cellStyle name="Moeda 3" xfId="24" xr:uid="{00000000-0005-0000-0000-000007000000}"/>
    <cellStyle name="Moeda 3 2" xfId="15" xr:uid="{00000000-0005-0000-0000-000008000000}"/>
    <cellStyle name="Moeda 3 2 2" xfId="61" xr:uid="{00000000-0005-0000-0000-000009000000}"/>
    <cellStyle name="Moeda 3 3" xfId="52" xr:uid="{00000000-0005-0000-0000-00000A000000}"/>
    <cellStyle name="Moeda 3 4" xfId="63" xr:uid="{00000000-0005-0000-0000-00000B000000}"/>
    <cellStyle name="Moeda 4" xfId="3" xr:uid="{00000000-0005-0000-0000-00000C000000}"/>
    <cellStyle name="Moeda 4 2" xfId="48" xr:uid="{00000000-0005-0000-0000-00000D000000}"/>
    <cellStyle name="Moeda 4 3" xfId="25" xr:uid="{00000000-0005-0000-0000-00000E000000}"/>
    <cellStyle name="Moeda 5" xfId="26" xr:uid="{00000000-0005-0000-0000-00000F000000}"/>
    <cellStyle name="Moeda 6" xfId="27" xr:uid="{00000000-0005-0000-0000-000010000000}"/>
    <cellStyle name="Moeda 7" xfId="9" xr:uid="{00000000-0005-0000-0000-000011000000}"/>
    <cellStyle name="Moeda 8" xfId="51" xr:uid="{00000000-0005-0000-0000-000012000000}"/>
    <cellStyle name="Moeda 8 2" xfId="74" xr:uid="{00000000-0005-0000-0000-000013000000}"/>
    <cellStyle name="Moeda 9" xfId="58" xr:uid="{00000000-0005-0000-0000-000014000000}"/>
    <cellStyle name="Normal" xfId="0" builtinId="0"/>
    <cellStyle name="Normal 10" xfId="53" xr:uid="{00000000-0005-0000-0000-000016000000}"/>
    <cellStyle name="Normal 14" xfId="75" xr:uid="{00000000-0005-0000-0000-000017000000}"/>
    <cellStyle name="Normal 2" xfId="14" xr:uid="{00000000-0005-0000-0000-000018000000}"/>
    <cellStyle name="Normal 2 2" xfId="5" xr:uid="{00000000-0005-0000-0000-000019000000}"/>
    <cellStyle name="Normal 2 3" xfId="77" xr:uid="{250BFC81-685B-4572-9ACF-571C42FD044B}"/>
    <cellStyle name="Normal 3" xfId="28" xr:uid="{00000000-0005-0000-0000-00001A000000}"/>
    <cellStyle name="Normal 3 2" xfId="22" xr:uid="{00000000-0005-0000-0000-00001B000000}"/>
    <cellStyle name="Normal 4" xfId="29" xr:uid="{00000000-0005-0000-0000-00001C000000}"/>
    <cellStyle name="Normal 5" xfId="30" xr:uid="{00000000-0005-0000-0000-00001D000000}"/>
    <cellStyle name="Normal 6" xfId="31" xr:uid="{00000000-0005-0000-0000-00001E000000}"/>
    <cellStyle name="Normal 7" xfId="32" xr:uid="{00000000-0005-0000-0000-00001F000000}"/>
    <cellStyle name="Normal 8" xfId="19" xr:uid="{00000000-0005-0000-0000-000020000000}"/>
    <cellStyle name="Normal 9" xfId="8" xr:uid="{00000000-0005-0000-0000-000021000000}"/>
    <cellStyle name="Normal 9 2" xfId="59" xr:uid="{00000000-0005-0000-0000-000022000000}"/>
    <cellStyle name="Porcentagem" xfId="1" builtinId="5"/>
    <cellStyle name="Porcentagem 2" xfId="11" xr:uid="{00000000-0005-0000-0000-000025000000}"/>
    <cellStyle name="Porcentagem 2 2" xfId="16" xr:uid="{00000000-0005-0000-0000-000026000000}"/>
    <cellStyle name="Porcentagem 2 2 3" xfId="79" xr:uid="{CB896F25-D4D4-40C8-A11F-CF50B065E714}"/>
    <cellStyle name="Porcentagem 2 3" xfId="18" xr:uid="{00000000-0005-0000-0000-000027000000}"/>
    <cellStyle name="Porcentagem 2 5" xfId="55" xr:uid="{00000000-0005-0000-0000-000028000000}"/>
    <cellStyle name="Porcentagem 3" xfId="33" xr:uid="{00000000-0005-0000-0000-000029000000}"/>
    <cellStyle name="Porcentagem 3 2" xfId="20" xr:uid="{00000000-0005-0000-0000-00002A000000}"/>
    <cellStyle name="Porcentagem 4" xfId="2" xr:uid="{00000000-0005-0000-0000-00002B000000}"/>
    <cellStyle name="Porcentagem 4 2" xfId="47" xr:uid="{00000000-0005-0000-0000-00002C000000}"/>
    <cellStyle name="Porcentagem 4 3" xfId="34" xr:uid="{00000000-0005-0000-0000-00002D000000}"/>
    <cellStyle name="Porcentagem 5" xfId="13" xr:uid="{00000000-0005-0000-0000-00002E000000}"/>
    <cellStyle name="Separador de milhares 2" xfId="35" xr:uid="{00000000-0005-0000-0000-00002F000000}"/>
    <cellStyle name="Separador de milhares 2 2" xfId="64" xr:uid="{00000000-0005-0000-0000-000030000000}"/>
    <cellStyle name="Separador de milhares 3" xfId="4" xr:uid="{00000000-0005-0000-0000-000031000000}"/>
    <cellStyle name="Separador de milhares 3 2" xfId="49" xr:uid="{00000000-0005-0000-0000-000032000000}"/>
    <cellStyle name="Separador de milhares 3 2 2" xfId="73" xr:uid="{00000000-0005-0000-0000-000033000000}"/>
    <cellStyle name="Separador de milhares 3 3" xfId="36" xr:uid="{00000000-0005-0000-0000-000034000000}"/>
    <cellStyle name="Separador de milhares 3 3 2" xfId="65" xr:uid="{00000000-0005-0000-0000-000035000000}"/>
    <cellStyle name="Separador de milhares 3 4" xfId="57" xr:uid="{00000000-0005-0000-0000-000036000000}"/>
    <cellStyle name="Separador de milhares 4" xfId="37" xr:uid="{00000000-0005-0000-0000-000037000000}"/>
    <cellStyle name="Separador de milhares 4 2" xfId="66" xr:uid="{00000000-0005-0000-0000-000038000000}"/>
    <cellStyle name="Separador de milhares 5" xfId="38" xr:uid="{00000000-0005-0000-0000-000039000000}"/>
    <cellStyle name="Separador de milhares 5 2" xfId="67" xr:uid="{00000000-0005-0000-0000-00003A000000}"/>
    <cellStyle name="Título 1 1" xfId="39" xr:uid="{00000000-0005-0000-0000-00003B000000}"/>
    <cellStyle name="Título 1 1 1" xfId="40" xr:uid="{00000000-0005-0000-0000-00003C000000}"/>
    <cellStyle name="Título 5" xfId="41" xr:uid="{00000000-0005-0000-0000-00003D000000}"/>
    <cellStyle name="Vírgula 10" xfId="54" xr:uid="{00000000-0005-0000-0000-00003F000000}"/>
    <cellStyle name="Vírgula 2" xfId="42" xr:uid="{00000000-0005-0000-0000-000040000000}"/>
    <cellStyle name="Vírgula 2 2" xfId="21" xr:uid="{00000000-0005-0000-0000-000041000000}"/>
    <cellStyle name="Vírgula 2 2 2" xfId="62" xr:uid="{00000000-0005-0000-0000-000042000000}"/>
    <cellStyle name="Vírgula 2 3" xfId="68" xr:uid="{00000000-0005-0000-0000-000043000000}"/>
    <cellStyle name="Vírgula 3" xfId="43" xr:uid="{00000000-0005-0000-0000-000044000000}"/>
    <cellStyle name="Vírgula 3 2" xfId="69" xr:uid="{00000000-0005-0000-0000-000045000000}"/>
    <cellStyle name="Vírgula 4" xfId="44" xr:uid="{00000000-0005-0000-0000-000046000000}"/>
    <cellStyle name="Vírgula 4 2" xfId="70" xr:uid="{00000000-0005-0000-0000-000047000000}"/>
    <cellStyle name="Vírgula 5" xfId="45" xr:uid="{00000000-0005-0000-0000-000048000000}"/>
    <cellStyle name="Vírgula 5 2" xfId="71" xr:uid="{00000000-0005-0000-0000-000049000000}"/>
    <cellStyle name="Vírgula 6" xfId="46" xr:uid="{00000000-0005-0000-0000-00004A000000}"/>
    <cellStyle name="Vírgula 6 2" xfId="72" xr:uid="{00000000-0005-0000-0000-00004B000000}"/>
    <cellStyle name="Vírgula 7" xfId="12" xr:uid="{00000000-0005-0000-0000-00004C000000}"/>
    <cellStyle name="Vírgula 7 2" xfId="60" xr:uid="{00000000-0005-0000-0000-00004D000000}"/>
    <cellStyle name="Vírgula 8" xfId="56" xr:uid="{00000000-0005-0000-0000-00004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217714</xdr:colOff>
      <xdr:row>0</xdr:row>
      <xdr:rowOff>244929</xdr:rowOff>
    </xdr:from>
    <xdr:to>
      <xdr:col>1</xdr:col>
      <xdr:colOff>135490</xdr:colOff>
      <xdr:row>2</xdr:row>
      <xdr:rowOff>25855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CFE2066-ACBF-4A11-98CC-8FF027168C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4" y="244929"/>
          <a:ext cx="1428169" cy="7334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80596</xdr:colOff>
      <xdr:row>0</xdr:row>
      <xdr:rowOff>87923</xdr:rowOff>
    </xdr:from>
    <xdr:to>
      <xdr:col>0</xdr:col>
      <xdr:colOff>1508765</xdr:colOff>
      <xdr:row>0</xdr:row>
      <xdr:rowOff>821349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5095694-7D3E-4ED8-BD46-70E8640B54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596" y="87923"/>
          <a:ext cx="1428169" cy="7334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57150</xdr:rowOff>
    </xdr:from>
    <xdr:to>
      <xdr:col>2</xdr:col>
      <xdr:colOff>1113844</xdr:colOff>
      <xdr:row>0</xdr:row>
      <xdr:rowOff>790576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8B12CC2-03EB-4AE8-AE1C-C2EE240B9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" y="57150"/>
          <a:ext cx="1428169" cy="7334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partamento%20de%20lici\Desktop\COMERCIAL%202020\COMERCIAL%202020\LICITA&#199;&#213;ES\PREG&#213;ES%20ANALISE\STJ%20DF%20-%2022%2007\PC\C&#243;pia%20de%20PC%20STJ%20R5%20ANALISE%20DE%20PRODUTIVIDADE%20-%20LUCAS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âmetros (não excluir)"/>
      <sheetName val="GESTOR"/>
      <sheetName val="LICITANTE"/>
      <sheetName val="Resumo"/>
      <sheetName val="Sob Demanda"/>
      <sheetName val="P1"/>
      <sheetName val="P2"/>
      <sheetName val="Det. - Mod. 2 e 3"/>
      <sheetName val="Notas Exp."/>
      <sheetName val="PisCofins"/>
      <sheetName val="Subst. Férias"/>
      <sheetName val="Conta Vinc."/>
      <sheetName val="2.1.2 ADUBAÇÃO "/>
      <sheetName val="BDI ADUBAÇÃO"/>
      <sheetName val="2.2.1 CUSTO SUPRESSÃO"/>
      <sheetName val="2.2.2 CUSTO REMOÇÃO"/>
      <sheetName val="2.2.3 CUSTO PODA"/>
      <sheetName val="CUSTO CAMINHÃO MUCK "/>
      <sheetName val="CUSTO CAMINHÃO CABINE"/>
      <sheetName val="BDI PODA"/>
      <sheetName val="BDI SUPRESSÃO "/>
      <sheetName val="BDI REMOÇÃO "/>
      <sheetName val="ITEM 2.1.4"/>
      <sheetName val="ITEM 2.2.4"/>
      <sheetName val="BDI ITEM 2.1.4"/>
      <sheetName val="ITEM 2.2.4 "/>
      <sheetName val="BDI ITEM 2.2.4"/>
    </sheetNames>
    <sheetDataSet>
      <sheetData sheetId="0">
        <row r="1">
          <cell r="A1" t="str">
            <v>Pis/Cofins: Regime Cumulativo</v>
          </cell>
          <cell r="F1">
            <v>0.2</v>
          </cell>
        </row>
        <row r="2">
          <cell r="A2" t="str">
            <v>Pis/Cofins: Regime Não-Cumulativo</v>
          </cell>
          <cell r="F2">
            <v>0</v>
          </cell>
          <cell r="Y2" t="str">
            <v>SIM</v>
          </cell>
        </row>
        <row r="3">
          <cell r="A3" t="str">
            <v>Pis/Cofins: Regime Não-Cumulativo e Cumulativo</v>
          </cell>
          <cell r="Y3" t="str">
            <v>NÃO</v>
          </cell>
        </row>
        <row r="34">
          <cell r="Z34" t="str">
            <v>Regra 1</v>
          </cell>
        </row>
        <row r="35">
          <cell r="Z35" t="str">
            <v>Regra 2</v>
          </cell>
        </row>
        <row r="36">
          <cell r="Z36" t="str">
            <v>Regra 3</v>
          </cell>
        </row>
        <row r="37">
          <cell r="Z37" t="str">
            <v>Regra 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21">
          <cell r="D21">
            <v>0.28874489792316882</v>
          </cell>
        </row>
      </sheetData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199C5-48B8-4189-AC48-B831B577C81E}">
  <dimension ref="A1:P94"/>
  <sheetViews>
    <sheetView showGridLines="0" tabSelected="1" zoomScale="70" zoomScaleNormal="70" zoomScaleSheetLayoutView="115" workbookViewId="0">
      <selection activeCell="H9" sqref="H9"/>
    </sheetView>
  </sheetViews>
  <sheetFormatPr defaultColWidth="15" defaultRowHeight="15" x14ac:dyDescent="0.25"/>
  <cols>
    <col min="1" max="1" width="22.5703125" style="4" customWidth="1"/>
    <col min="2" max="2" width="37.7109375" style="4" customWidth="1"/>
    <col min="3" max="3" width="24.85546875" style="4" customWidth="1"/>
    <col min="4" max="4" width="22.28515625" style="4" customWidth="1"/>
    <col min="5" max="5" width="23.42578125" style="4" customWidth="1"/>
    <col min="6" max="6" width="47.140625" style="4" customWidth="1"/>
    <col min="7" max="7" width="20" style="4" customWidth="1"/>
    <col min="8" max="8" width="19.42578125" style="4" customWidth="1"/>
    <col min="9" max="9" width="20" style="4" customWidth="1"/>
    <col min="10" max="10" width="18.7109375" style="4" bestFit="1" customWidth="1"/>
    <col min="11" max="11" width="15" style="4"/>
    <col min="12" max="12" width="18.7109375" style="4" customWidth="1"/>
    <col min="13" max="13" width="22.7109375" style="4" customWidth="1"/>
    <col min="14" max="14" width="21.42578125" style="4" customWidth="1"/>
    <col min="15" max="15" width="17.28515625" style="4" customWidth="1"/>
    <col min="16" max="16" width="16.28515625" style="4" customWidth="1"/>
    <col min="17" max="16384" width="15" style="4"/>
  </cols>
  <sheetData>
    <row r="1" spans="1:16" ht="60" customHeight="1" x14ac:dyDescent="0.25"/>
    <row r="4" spans="1:16" ht="23.25" x14ac:dyDescent="0.25">
      <c r="A4" s="88" t="s">
        <v>106</v>
      </c>
      <c r="B4" s="88"/>
      <c r="C4" s="88"/>
      <c r="D4" s="88"/>
      <c r="E4" s="88"/>
      <c r="F4" s="88"/>
      <c r="G4" s="88"/>
      <c r="H4" s="88"/>
      <c r="I4" s="88"/>
      <c r="J4" s="88"/>
    </row>
    <row r="6" spans="1:16" ht="28.5" x14ac:dyDescent="0.25">
      <c r="A6" s="119" t="s">
        <v>114</v>
      </c>
      <c r="B6" s="119"/>
      <c r="C6" s="119"/>
      <c r="D6" s="119"/>
      <c r="E6" s="119"/>
      <c r="F6" s="119"/>
      <c r="G6" s="119"/>
      <c r="H6" s="119"/>
      <c r="I6" s="119"/>
      <c r="J6" s="119"/>
    </row>
    <row r="7" spans="1:16" ht="15.75" thickBo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L7" s="93" t="s">
        <v>107</v>
      </c>
      <c r="M7" s="93"/>
      <c r="N7" s="93"/>
      <c r="O7" s="93"/>
      <c r="P7" s="93"/>
    </row>
    <row r="8" spans="1:16" ht="15.75" thickBot="1" x14ac:dyDescent="0.3">
      <c r="A8" s="94" t="s">
        <v>112</v>
      </c>
      <c r="B8" s="95"/>
      <c r="C8" s="95"/>
      <c r="D8" s="95"/>
      <c r="E8" s="95"/>
      <c r="F8" s="95"/>
      <c r="G8" s="95"/>
      <c r="H8" s="95"/>
      <c r="I8" s="95"/>
      <c r="J8" s="96"/>
    </row>
    <row r="9" spans="1:16" ht="45" x14ac:dyDescent="0.25">
      <c r="A9" s="6" t="s">
        <v>6</v>
      </c>
      <c r="B9" s="6" t="s">
        <v>4</v>
      </c>
      <c r="C9" s="6" t="s">
        <v>7</v>
      </c>
      <c r="D9" s="6" t="s">
        <v>27</v>
      </c>
      <c r="E9" s="19" t="s">
        <v>24</v>
      </c>
      <c r="F9" s="19" t="s">
        <v>34</v>
      </c>
      <c r="G9" s="19" t="s">
        <v>79</v>
      </c>
      <c r="H9" s="19" t="s">
        <v>92</v>
      </c>
      <c r="I9" s="19" t="s">
        <v>80</v>
      </c>
      <c r="J9" s="19" t="s">
        <v>36</v>
      </c>
      <c r="L9" s="32" t="s">
        <v>86</v>
      </c>
      <c r="M9" s="90" t="s">
        <v>87</v>
      </c>
      <c r="N9" s="32" t="s">
        <v>51</v>
      </c>
      <c r="O9" s="32" t="s">
        <v>43</v>
      </c>
      <c r="P9" s="32" t="s">
        <v>44</v>
      </c>
    </row>
    <row r="10" spans="1:16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L10" s="90">
        <v>21</v>
      </c>
      <c r="M10" s="32" t="s">
        <v>88</v>
      </c>
      <c r="N10" s="32">
        <v>5000</v>
      </c>
      <c r="O10" s="32">
        <v>8</v>
      </c>
      <c r="P10" s="32">
        <v>68271</v>
      </c>
    </row>
    <row r="11" spans="1:16" x14ac:dyDescent="0.25">
      <c r="A11" s="3" t="s">
        <v>23</v>
      </c>
      <c r="B11" s="7" t="s">
        <v>59</v>
      </c>
      <c r="C11" s="3" t="s">
        <v>8</v>
      </c>
      <c r="D11" s="3">
        <v>1</v>
      </c>
      <c r="E11" s="3">
        <v>30</v>
      </c>
      <c r="F11" s="20">
        <v>54999</v>
      </c>
      <c r="G11" s="21">
        <f>(F11*D11)/E11</f>
        <v>1833.3</v>
      </c>
      <c r="H11" s="21">
        <f>G11/L10</f>
        <v>87.3</v>
      </c>
      <c r="I11" s="21">
        <f>H11/$O$10</f>
        <v>10.9125</v>
      </c>
      <c r="J11" s="8">
        <f>I11</f>
        <v>10.9125</v>
      </c>
      <c r="L11" s="91"/>
      <c r="M11" s="32" t="s">
        <v>89</v>
      </c>
      <c r="N11" s="32">
        <v>350</v>
      </c>
      <c r="O11" s="32">
        <v>8</v>
      </c>
      <c r="P11" s="32"/>
    </row>
    <row r="12" spans="1:16" x14ac:dyDescent="0.25">
      <c r="A12" s="3" t="s">
        <v>23</v>
      </c>
      <c r="B12" s="7" t="s">
        <v>38</v>
      </c>
      <c r="C12" s="3" t="s">
        <v>8</v>
      </c>
      <c r="D12" s="3">
        <v>1</v>
      </c>
      <c r="E12" s="70">
        <v>1</v>
      </c>
      <c r="F12" s="20">
        <v>200</v>
      </c>
      <c r="G12" s="21">
        <f>F12/E12</f>
        <v>200</v>
      </c>
      <c r="H12" s="21">
        <f>G12/L10</f>
        <v>9.5238095238095237</v>
      </c>
      <c r="I12" s="21">
        <f t="shared" ref="I12:I14" si="0">H12/$O$10</f>
        <v>1.1904761904761905</v>
      </c>
      <c r="J12" s="8">
        <f>I12</f>
        <v>1.1904761904761905</v>
      </c>
      <c r="L12" s="91"/>
      <c r="M12" s="32" t="s">
        <v>90</v>
      </c>
      <c r="N12" s="32">
        <v>406.36996492598695</v>
      </c>
      <c r="O12" s="32">
        <v>8</v>
      </c>
      <c r="P12" s="92"/>
    </row>
    <row r="13" spans="1:16" x14ac:dyDescent="0.25">
      <c r="A13" s="3" t="s">
        <v>23</v>
      </c>
      <c r="B13" s="7" t="s">
        <v>95</v>
      </c>
      <c r="C13" s="3" t="s">
        <v>8</v>
      </c>
      <c r="D13" s="3">
        <v>6</v>
      </c>
      <c r="E13" s="70">
        <v>3</v>
      </c>
      <c r="F13" s="20">
        <v>45</v>
      </c>
      <c r="G13" s="21">
        <f>F13/E13</f>
        <v>15</v>
      </c>
      <c r="H13" s="21">
        <f>G13/L10</f>
        <v>0.7142857142857143</v>
      </c>
      <c r="I13" s="21">
        <f t="shared" si="0"/>
        <v>8.9285714285714288E-2</v>
      </c>
      <c r="J13" s="8">
        <f>I13</f>
        <v>8.9285714285714288E-2</v>
      </c>
    </row>
    <row r="14" spans="1:16" x14ac:dyDescent="0.25">
      <c r="A14" s="3" t="s">
        <v>23</v>
      </c>
      <c r="B14" s="7" t="s">
        <v>96</v>
      </c>
      <c r="C14" s="3" t="s">
        <v>8</v>
      </c>
      <c r="D14" s="3">
        <v>1</v>
      </c>
      <c r="E14" s="70">
        <v>2</v>
      </c>
      <c r="F14" s="20">
        <v>46</v>
      </c>
      <c r="G14" s="21">
        <f>F14/E14</f>
        <v>23</v>
      </c>
      <c r="H14" s="21">
        <f>G14/L10</f>
        <v>1.0952380952380953</v>
      </c>
      <c r="I14" s="21">
        <f t="shared" si="0"/>
        <v>0.13690476190476192</v>
      </c>
      <c r="J14" s="8">
        <f>I14</f>
        <v>0.13690476190476192</v>
      </c>
    </row>
    <row r="15" spans="1:16" x14ac:dyDescent="0.25">
      <c r="A15" s="3"/>
      <c r="B15" s="7"/>
      <c r="C15" s="3"/>
      <c r="D15" s="3"/>
      <c r="E15" s="70"/>
      <c r="F15" s="20"/>
      <c r="G15" s="21"/>
      <c r="H15" s="21"/>
      <c r="I15" s="108" t="s">
        <v>93</v>
      </c>
      <c r="J15" s="109">
        <f>SUM(J11:J14)</f>
        <v>12.329166666666666</v>
      </c>
    </row>
    <row r="16" spans="1:16" ht="15.75" thickBot="1" x14ac:dyDescent="0.3">
      <c r="A16" s="5"/>
      <c r="C16" s="5"/>
      <c r="D16" s="5"/>
      <c r="E16" s="5"/>
      <c r="F16" s="22"/>
      <c r="G16" s="23"/>
      <c r="H16" s="23"/>
      <c r="I16" s="23"/>
      <c r="J16" s="24"/>
      <c r="K16" s="11"/>
    </row>
    <row r="17" spans="1:15" ht="15.75" thickBot="1" x14ac:dyDescent="0.3">
      <c r="A17" s="94" t="s">
        <v>31</v>
      </c>
      <c r="B17" s="95"/>
      <c r="C17" s="95"/>
      <c r="D17" s="95"/>
      <c r="E17" s="95"/>
      <c r="F17" s="95"/>
      <c r="G17" s="95"/>
      <c r="H17" s="95"/>
      <c r="I17" s="95"/>
      <c r="J17" s="96"/>
    </row>
    <row r="18" spans="1:15" ht="60.75" customHeight="1" x14ac:dyDescent="0.25">
      <c r="A18" s="25" t="s">
        <v>6</v>
      </c>
      <c r="B18" s="25" t="s">
        <v>4</v>
      </c>
      <c r="C18" s="25" t="s">
        <v>7</v>
      </c>
      <c r="D18" s="26" t="s">
        <v>29</v>
      </c>
      <c r="E18" s="26" t="s">
        <v>40</v>
      </c>
      <c r="F18" s="26" t="s">
        <v>35</v>
      </c>
      <c r="G18" s="19" t="s">
        <v>91</v>
      </c>
      <c r="H18" s="19"/>
      <c r="I18" s="19" t="s">
        <v>80</v>
      </c>
      <c r="J18" s="26" t="s">
        <v>36</v>
      </c>
    </row>
    <row r="19" spans="1:15" x14ac:dyDescent="0.25">
      <c r="A19" s="3" t="s">
        <v>10</v>
      </c>
      <c r="B19" s="3" t="s">
        <v>25</v>
      </c>
      <c r="C19" s="3" t="s">
        <v>26</v>
      </c>
      <c r="D19" s="3">
        <v>25</v>
      </c>
      <c r="E19" s="3">
        <f>D19/O10</f>
        <v>3.125</v>
      </c>
      <c r="F19" s="21">
        <v>6.79</v>
      </c>
      <c r="G19" s="8">
        <f>F19*E19</f>
        <v>21.21875</v>
      </c>
      <c r="H19" s="8"/>
      <c r="I19" s="8">
        <f>G19</f>
        <v>21.21875</v>
      </c>
      <c r="J19" s="8">
        <f>I19</f>
        <v>21.21875</v>
      </c>
      <c r="K19" s="11"/>
    </row>
    <row r="20" spans="1:15" x14ac:dyDescent="0.25">
      <c r="A20" s="3"/>
      <c r="B20" s="7"/>
      <c r="C20" s="3"/>
      <c r="D20" s="7"/>
      <c r="E20" s="7"/>
      <c r="F20" s="7"/>
      <c r="G20" s="8"/>
      <c r="H20" s="8"/>
      <c r="I20" s="110" t="s">
        <v>93</v>
      </c>
      <c r="J20" s="111">
        <f>J19</f>
        <v>21.21875</v>
      </c>
    </row>
    <row r="21" spans="1:15" x14ac:dyDescent="0.25">
      <c r="A21" s="41"/>
      <c r="B21" s="97"/>
      <c r="C21" s="42"/>
      <c r="D21" s="97"/>
      <c r="E21" s="97"/>
      <c r="F21" s="97"/>
      <c r="G21" s="77"/>
      <c r="H21" s="77"/>
      <c r="I21" s="98"/>
      <c r="J21" s="78"/>
    </row>
    <row r="22" spans="1:15" ht="17.25" customHeight="1" x14ac:dyDescent="0.25">
      <c r="A22" s="89" t="s">
        <v>32</v>
      </c>
      <c r="B22" s="89"/>
      <c r="C22" s="89"/>
      <c r="D22" s="89"/>
      <c r="E22" s="89"/>
      <c r="F22" s="89"/>
      <c r="G22" s="89"/>
      <c r="H22" s="89"/>
      <c r="I22" s="89"/>
      <c r="J22" s="89"/>
    </row>
    <row r="23" spans="1:15" ht="30" x14ac:dyDescent="0.25">
      <c r="A23" s="25" t="s">
        <v>6</v>
      </c>
      <c r="B23" s="25" t="s">
        <v>4</v>
      </c>
      <c r="C23" s="25" t="s">
        <v>111</v>
      </c>
      <c r="D23" s="26" t="s">
        <v>27</v>
      </c>
      <c r="E23" s="26" t="s">
        <v>108</v>
      </c>
      <c r="F23" s="101" t="s">
        <v>108</v>
      </c>
      <c r="G23" s="102"/>
      <c r="H23" s="102"/>
      <c r="I23" s="103"/>
      <c r="J23" s="26" t="s">
        <v>36</v>
      </c>
    </row>
    <row r="24" spans="1:15" ht="45" x14ac:dyDescent="0.25">
      <c r="A24" s="13" t="s">
        <v>109</v>
      </c>
      <c r="B24" s="13" t="s">
        <v>45</v>
      </c>
      <c r="C24" s="3" t="s">
        <v>33</v>
      </c>
      <c r="D24" s="30">
        <v>1</v>
      </c>
      <c r="E24" s="21">
        <v>25.78</v>
      </c>
      <c r="F24" s="105">
        <f>D24*E24</f>
        <v>25.78</v>
      </c>
      <c r="G24" s="106"/>
      <c r="H24" s="106"/>
      <c r="I24" s="107"/>
      <c r="J24" s="27">
        <f>F24</f>
        <v>25.78</v>
      </c>
    </row>
    <row r="25" spans="1:15" ht="48.75" customHeight="1" x14ac:dyDescent="0.25">
      <c r="A25" s="13" t="s">
        <v>110</v>
      </c>
      <c r="B25" s="13" t="s">
        <v>49</v>
      </c>
      <c r="C25" s="3" t="s">
        <v>33</v>
      </c>
      <c r="D25" s="30">
        <v>1</v>
      </c>
      <c r="E25" s="21">
        <v>23.4</v>
      </c>
      <c r="F25" s="104">
        <f>D25*E25</f>
        <v>23.4</v>
      </c>
      <c r="G25" s="104"/>
      <c r="H25" s="104"/>
      <c r="I25" s="104"/>
      <c r="J25" s="27">
        <f>F25</f>
        <v>23.4</v>
      </c>
    </row>
    <row r="26" spans="1:15" x14ac:dyDescent="0.25">
      <c r="A26" s="112"/>
      <c r="B26" s="112"/>
      <c r="C26" s="112"/>
      <c r="D26" s="112"/>
      <c r="E26" s="112"/>
      <c r="F26" s="112"/>
      <c r="G26" s="112"/>
      <c r="H26" s="113"/>
      <c r="I26" s="74" t="s">
        <v>93</v>
      </c>
      <c r="J26" s="75">
        <f>SUM(J24:J25)</f>
        <v>49.18</v>
      </c>
    </row>
    <row r="28" spans="1:15" x14ac:dyDescent="0.25">
      <c r="A28" s="114" t="s">
        <v>28</v>
      </c>
      <c r="B28" s="114"/>
      <c r="C28" s="114"/>
      <c r="D28" s="114"/>
      <c r="E28" s="114"/>
      <c r="F28" s="114"/>
      <c r="G28" s="114"/>
      <c r="H28" s="114"/>
      <c r="I28" s="114"/>
      <c r="J28" s="115">
        <f>SUM(J15,J20,J26)</f>
        <v>82.727916666666658</v>
      </c>
      <c r="O28" s="34"/>
    </row>
    <row r="29" spans="1:15" x14ac:dyDescent="0.25">
      <c r="A29" s="99" t="s">
        <v>60</v>
      </c>
      <c r="B29" s="99"/>
      <c r="C29" s="99"/>
      <c r="D29" s="99"/>
      <c r="E29" s="99"/>
      <c r="F29" s="99"/>
      <c r="G29" s="99"/>
      <c r="H29" s="99"/>
      <c r="I29" s="99"/>
      <c r="J29" s="100">
        <f>J28/N10</f>
        <v>1.6545583333333332E-2</v>
      </c>
      <c r="O29" s="34"/>
    </row>
    <row r="33" spans="1:10" ht="40.5" customHeight="1" x14ac:dyDescent="0.25">
      <c r="A33" s="116" t="s">
        <v>113</v>
      </c>
      <c r="B33" s="116"/>
      <c r="C33" s="116"/>
      <c r="D33" s="116"/>
      <c r="E33" s="116"/>
      <c r="F33" s="116"/>
      <c r="G33" s="116"/>
      <c r="H33" s="116"/>
      <c r="I33" s="116"/>
      <c r="J33" s="116"/>
    </row>
    <row r="34" spans="1:10" ht="15" customHeight="1" thickBot="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</row>
    <row r="35" spans="1:10" ht="15.75" thickBot="1" x14ac:dyDescent="0.3">
      <c r="A35" s="94" t="s">
        <v>112</v>
      </c>
      <c r="B35" s="95"/>
      <c r="C35" s="95"/>
      <c r="D35" s="95"/>
      <c r="E35" s="95"/>
      <c r="F35" s="95"/>
      <c r="G35" s="95"/>
      <c r="H35" s="95"/>
      <c r="I35" s="95"/>
      <c r="J35" s="96"/>
    </row>
    <row r="36" spans="1:10" ht="45" x14ac:dyDescent="0.25">
      <c r="A36" s="6" t="s">
        <v>6</v>
      </c>
      <c r="B36" s="6" t="s">
        <v>4</v>
      </c>
      <c r="C36" s="6" t="s">
        <v>7</v>
      </c>
      <c r="D36" s="6" t="s">
        <v>27</v>
      </c>
      <c r="E36" s="19" t="s">
        <v>24</v>
      </c>
      <c r="F36" s="19" t="s">
        <v>34</v>
      </c>
      <c r="G36" s="19" t="s">
        <v>79</v>
      </c>
      <c r="H36" s="19" t="s">
        <v>92</v>
      </c>
      <c r="I36" s="19" t="s">
        <v>80</v>
      </c>
      <c r="J36" s="19" t="s">
        <v>36</v>
      </c>
    </row>
    <row r="37" spans="1:10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5">
      <c r="A38" s="3" t="s">
        <v>23</v>
      </c>
      <c r="B38" s="7" t="s">
        <v>39</v>
      </c>
      <c r="C38" s="3" t="s">
        <v>8</v>
      </c>
      <c r="D38" s="3">
        <v>2</v>
      </c>
      <c r="E38" s="3">
        <v>30</v>
      </c>
      <c r="F38" s="20">
        <v>4000</v>
      </c>
      <c r="G38" s="21">
        <f>(F38*D38)/E38</f>
        <v>266.66666666666669</v>
      </c>
      <c r="H38" s="21">
        <f>G38/L10</f>
        <v>12.698412698412699</v>
      </c>
      <c r="I38" s="21">
        <f>H38/O11</f>
        <v>1.5873015873015874</v>
      </c>
      <c r="J38" s="8">
        <f>I38</f>
        <v>1.5873015873015874</v>
      </c>
    </row>
    <row r="39" spans="1:10" x14ac:dyDescent="0.25">
      <c r="A39" s="3" t="s">
        <v>10</v>
      </c>
      <c r="B39" s="71" t="s">
        <v>81</v>
      </c>
      <c r="C39" s="3" t="s">
        <v>3</v>
      </c>
      <c r="D39" s="3">
        <v>2</v>
      </c>
      <c r="E39" s="3">
        <v>3</v>
      </c>
      <c r="F39" s="21">
        <v>45</v>
      </c>
      <c r="G39" s="21">
        <f>(F39*D39)/E39</f>
        <v>30</v>
      </c>
      <c r="H39" s="21">
        <f>G39/L10</f>
        <v>1.4285714285714286</v>
      </c>
      <c r="I39" s="21">
        <f>H39/O11</f>
        <v>0.17857142857142858</v>
      </c>
      <c r="J39" s="8">
        <f>I39</f>
        <v>0.17857142857142858</v>
      </c>
    </row>
    <row r="40" spans="1:10" x14ac:dyDescent="0.25">
      <c r="A40" s="3"/>
      <c r="B40" s="7"/>
      <c r="C40" s="3"/>
      <c r="D40" s="3"/>
      <c r="E40" s="3"/>
      <c r="F40" s="20"/>
      <c r="G40" s="21"/>
      <c r="H40" s="21"/>
      <c r="I40" s="110" t="s">
        <v>93</v>
      </c>
      <c r="J40" s="111">
        <f>SUM(J38:J39)</f>
        <v>1.765873015873016</v>
      </c>
    </row>
    <row r="41" spans="1:10" ht="15.75" thickBot="1" x14ac:dyDescent="0.3">
      <c r="A41" s="5"/>
      <c r="C41" s="5"/>
      <c r="D41" s="5"/>
      <c r="E41" s="5"/>
      <c r="F41" s="22"/>
      <c r="G41" s="23"/>
      <c r="H41" s="23"/>
      <c r="I41" s="23"/>
      <c r="J41" s="24"/>
    </row>
    <row r="42" spans="1:10" ht="15.75" thickBot="1" x14ac:dyDescent="0.3">
      <c r="A42" s="94" t="s">
        <v>31</v>
      </c>
      <c r="B42" s="95"/>
      <c r="C42" s="95"/>
      <c r="D42" s="95"/>
      <c r="E42" s="95"/>
      <c r="F42" s="95"/>
      <c r="G42" s="95"/>
      <c r="H42" s="95"/>
      <c r="I42" s="95"/>
      <c r="J42" s="96"/>
    </row>
    <row r="43" spans="1:10" ht="45" x14ac:dyDescent="0.25">
      <c r="A43" s="25" t="s">
        <v>6</v>
      </c>
      <c r="B43" s="25" t="s">
        <v>4</v>
      </c>
      <c r="C43" s="25" t="s">
        <v>7</v>
      </c>
      <c r="D43" s="26" t="s">
        <v>29</v>
      </c>
      <c r="E43" s="26" t="s">
        <v>40</v>
      </c>
      <c r="F43" s="26" t="s">
        <v>5</v>
      </c>
      <c r="G43" s="19" t="s">
        <v>79</v>
      </c>
      <c r="H43" s="19" t="s">
        <v>92</v>
      </c>
      <c r="I43" s="19" t="s">
        <v>80</v>
      </c>
      <c r="J43" s="26" t="s">
        <v>36</v>
      </c>
    </row>
    <row r="44" spans="1:10" x14ac:dyDescent="0.25">
      <c r="A44" s="3" t="s">
        <v>10</v>
      </c>
      <c r="B44" s="3" t="s">
        <v>25</v>
      </c>
      <c r="C44" s="3" t="s">
        <v>26</v>
      </c>
      <c r="D44" s="3">
        <v>12</v>
      </c>
      <c r="E44" s="3">
        <f>D44/O11</f>
        <v>1.5</v>
      </c>
      <c r="F44" s="21">
        <f>F19</f>
        <v>6.79</v>
      </c>
      <c r="G44" s="8">
        <f>F44*E44</f>
        <v>10.185</v>
      </c>
      <c r="H44" s="8"/>
      <c r="I44" s="8">
        <f>G44</f>
        <v>10.185</v>
      </c>
      <c r="J44" s="8">
        <f>I44</f>
        <v>10.185</v>
      </c>
    </row>
    <row r="45" spans="1:10" ht="15.75" thickBot="1" x14ac:dyDescent="0.3">
      <c r="A45" s="41"/>
      <c r="B45" s="42"/>
      <c r="C45" s="42"/>
      <c r="D45" s="42"/>
      <c r="E45" s="42"/>
      <c r="F45" s="76"/>
      <c r="G45" s="77"/>
      <c r="H45" s="77"/>
      <c r="I45" s="111" t="s">
        <v>93</v>
      </c>
      <c r="J45" s="111">
        <f>J44</f>
        <v>10.185</v>
      </c>
    </row>
    <row r="46" spans="1:10" ht="15.75" thickBot="1" x14ac:dyDescent="0.3">
      <c r="A46" s="94" t="s">
        <v>32</v>
      </c>
      <c r="B46" s="95"/>
      <c r="C46" s="95"/>
      <c r="D46" s="95"/>
      <c r="E46" s="95"/>
      <c r="F46" s="95"/>
      <c r="G46" s="95"/>
      <c r="H46" s="95"/>
      <c r="I46" s="95"/>
      <c r="J46" s="96"/>
    </row>
    <row r="47" spans="1:10" ht="30" x14ac:dyDescent="0.25">
      <c r="A47" s="25" t="s">
        <v>6</v>
      </c>
      <c r="B47" s="25" t="s">
        <v>4</v>
      </c>
      <c r="C47" s="25" t="s">
        <v>7</v>
      </c>
      <c r="D47" s="26" t="s">
        <v>27</v>
      </c>
      <c r="E47" s="26" t="s">
        <v>5</v>
      </c>
      <c r="F47" s="101" t="s">
        <v>37</v>
      </c>
      <c r="G47" s="102" t="s">
        <v>79</v>
      </c>
      <c r="H47" s="102" t="s">
        <v>30</v>
      </c>
      <c r="I47" s="103" t="s">
        <v>80</v>
      </c>
      <c r="J47" s="26" t="s">
        <v>36</v>
      </c>
    </row>
    <row r="48" spans="1:10" ht="45" x14ac:dyDescent="0.25">
      <c r="A48" s="13" t="s">
        <v>23</v>
      </c>
      <c r="B48" s="13" t="s">
        <v>45</v>
      </c>
      <c r="C48" s="3" t="s">
        <v>33</v>
      </c>
      <c r="D48" s="30">
        <f>D38</f>
        <v>2</v>
      </c>
      <c r="E48" s="21">
        <v>25.78</v>
      </c>
      <c r="F48" s="105">
        <f>D48*E48</f>
        <v>51.56</v>
      </c>
      <c r="G48" s="106"/>
      <c r="H48" s="106"/>
      <c r="I48" s="107"/>
      <c r="J48" s="27">
        <f>F48</f>
        <v>51.56</v>
      </c>
    </row>
    <row r="49" spans="1:15" ht="30" x14ac:dyDescent="0.25">
      <c r="A49" s="13" t="s">
        <v>23</v>
      </c>
      <c r="B49" s="13" t="s">
        <v>49</v>
      </c>
      <c r="C49" s="3" t="s">
        <v>33</v>
      </c>
      <c r="D49" s="30">
        <v>2</v>
      </c>
      <c r="E49" s="21">
        <v>23.4</v>
      </c>
      <c r="F49" s="104">
        <f>D49*E49</f>
        <v>46.8</v>
      </c>
      <c r="G49" s="104"/>
      <c r="H49" s="104"/>
      <c r="I49" s="104"/>
      <c r="J49" s="27">
        <f>F49</f>
        <v>46.8</v>
      </c>
    </row>
    <row r="50" spans="1:15" x14ac:dyDescent="0.25">
      <c r="A50" s="9"/>
      <c r="B50" s="9"/>
      <c r="C50" s="9"/>
      <c r="D50" s="9"/>
      <c r="E50" s="9"/>
      <c r="F50" s="9"/>
      <c r="G50" s="9"/>
      <c r="H50" s="31"/>
      <c r="I50" s="74" t="s">
        <v>93</v>
      </c>
      <c r="J50" s="75">
        <f>SUM(J48:J49)</f>
        <v>98.36</v>
      </c>
      <c r="N50" s="36"/>
    </row>
    <row r="51" spans="1:15" x14ac:dyDescent="0.25">
      <c r="O51" s="36"/>
    </row>
    <row r="52" spans="1:15" x14ac:dyDescent="0.25">
      <c r="A52" s="114" t="s">
        <v>28</v>
      </c>
      <c r="B52" s="114"/>
      <c r="C52" s="114"/>
      <c r="D52" s="114"/>
      <c r="E52" s="114"/>
      <c r="F52" s="114"/>
      <c r="G52" s="114"/>
      <c r="H52" s="114"/>
      <c r="I52" s="114"/>
      <c r="J52" s="115">
        <f>SUM(J40,J45,J50)</f>
        <v>110.31087301587301</v>
      </c>
    </row>
    <row r="53" spans="1:15" x14ac:dyDescent="0.25">
      <c r="A53" s="99" t="s">
        <v>60</v>
      </c>
      <c r="B53" s="99"/>
      <c r="C53" s="99"/>
      <c r="D53" s="99"/>
      <c r="E53" s="99"/>
      <c r="F53" s="99"/>
      <c r="G53" s="99"/>
      <c r="H53" s="99"/>
      <c r="I53" s="99"/>
      <c r="J53" s="100">
        <f>J52/N11</f>
        <v>0.31517392290249435</v>
      </c>
    </row>
    <row r="54" spans="1:15" x14ac:dyDescent="0.25">
      <c r="H54" s="35"/>
      <c r="J54" s="11"/>
    </row>
    <row r="55" spans="1:15" x14ac:dyDescent="0.25">
      <c r="H55" s="35"/>
      <c r="J55" s="11"/>
    </row>
    <row r="56" spans="1:15" x14ac:dyDescent="0.25">
      <c r="H56" s="35"/>
      <c r="J56" s="11"/>
    </row>
    <row r="57" spans="1:15" ht="26.25" x14ac:dyDescent="0.25">
      <c r="A57" s="116" t="s">
        <v>46</v>
      </c>
      <c r="B57" s="118"/>
      <c r="C57" s="118"/>
      <c r="D57" s="118"/>
      <c r="E57" s="118"/>
      <c r="F57" s="118"/>
      <c r="G57" s="118"/>
      <c r="H57" s="118"/>
      <c r="I57" s="118"/>
      <c r="J57" s="118"/>
    </row>
    <row r="59" spans="1:15" ht="23.25" customHeight="1" x14ac:dyDescent="0.25">
      <c r="A59" s="120" t="s">
        <v>112</v>
      </c>
      <c r="B59" s="120"/>
      <c r="C59" s="120"/>
      <c r="D59" s="120"/>
      <c r="E59" s="120"/>
      <c r="F59" s="120"/>
      <c r="G59" s="120"/>
      <c r="H59" s="120"/>
      <c r="I59" s="120"/>
      <c r="J59" s="120"/>
    </row>
    <row r="60" spans="1:15" ht="45" x14ac:dyDescent="0.25">
      <c r="A60" s="6" t="s">
        <v>6</v>
      </c>
      <c r="B60" s="6" t="s">
        <v>4</v>
      </c>
      <c r="C60" s="6" t="s">
        <v>7</v>
      </c>
      <c r="D60" s="6" t="s">
        <v>27</v>
      </c>
      <c r="E60" s="19" t="s">
        <v>24</v>
      </c>
      <c r="F60" s="19" t="s">
        <v>34</v>
      </c>
      <c r="G60" s="19" t="s">
        <v>79</v>
      </c>
      <c r="H60" s="19" t="s">
        <v>92</v>
      </c>
      <c r="I60" s="19" t="s">
        <v>80</v>
      </c>
      <c r="J60" s="19" t="s">
        <v>36</v>
      </c>
    </row>
    <row r="61" spans="1:1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5" x14ac:dyDescent="0.25">
      <c r="A62" s="3" t="s">
        <v>23</v>
      </c>
      <c r="B62" s="7" t="s">
        <v>47</v>
      </c>
      <c r="C62" s="3" t="s">
        <v>55</v>
      </c>
      <c r="D62" s="3">
        <v>3000</v>
      </c>
      <c r="E62" s="3">
        <v>12</v>
      </c>
      <c r="F62" s="20">
        <f>123/50</f>
        <v>2.46</v>
      </c>
      <c r="G62" s="21">
        <f>(F62*D62)/E62</f>
        <v>615</v>
      </c>
      <c r="H62" s="21">
        <f>G62/$L$10</f>
        <v>29.285714285714285</v>
      </c>
      <c r="I62" s="21">
        <f>H62/O12</f>
        <v>3.6607142857142856</v>
      </c>
      <c r="J62" s="8">
        <f>I62</f>
        <v>3.6607142857142856</v>
      </c>
    </row>
    <row r="63" spans="1:15" x14ac:dyDescent="0.25">
      <c r="A63" s="3" t="s">
        <v>23</v>
      </c>
      <c r="B63" s="7" t="s">
        <v>48</v>
      </c>
      <c r="C63" s="3" t="s">
        <v>56</v>
      </c>
      <c r="D63" s="3">
        <v>15</v>
      </c>
      <c r="E63" s="3">
        <v>12</v>
      </c>
      <c r="F63" s="20">
        <v>30</v>
      </c>
      <c r="G63" s="21">
        <f>(F63*D63)/E63</f>
        <v>37.5</v>
      </c>
      <c r="H63" s="21">
        <f t="shared" ref="H63:H64" si="1">G63/$L$10</f>
        <v>1.7857142857142858</v>
      </c>
      <c r="I63" s="21">
        <f>H63/O12</f>
        <v>0.22321428571428573</v>
      </c>
      <c r="J63" s="8">
        <f>I63</f>
        <v>0.22321428571428573</v>
      </c>
    </row>
    <row r="64" spans="1:15" x14ac:dyDescent="0.25">
      <c r="A64" s="3" t="s">
        <v>23</v>
      </c>
      <c r="B64" s="7" t="s">
        <v>2</v>
      </c>
      <c r="C64" s="3" t="s">
        <v>56</v>
      </c>
      <c r="D64" s="3">
        <v>1</v>
      </c>
      <c r="E64" s="3">
        <v>1</v>
      </c>
      <c r="F64" s="20">
        <v>300</v>
      </c>
      <c r="G64" s="21">
        <f>(F64*D64)/E64</f>
        <v>300</v>
      </c>
      <c r="H64" s="21">
        <f t="shared" si="1"/>
        <v>14.285714285714286</v>
      </c>
      <c r="I64" s="21">
        <f>H64/O12</f>
        <v>1.7857142857142858</v>
      </c>
      <c r="J64" s="8">
        <f>I64</f>
        <v>1.7857142857142858</v>
      </c>
    </row>
    <row r="65" spans="1:10" x14ac:dyDescent="0.25">
      <c r="A65" s="72"/>
      <c r="B65" s="73"/>
      <c r="C65" s="72"/>
      <c r="D65" s="72"/>
      <c r="E65" s="72"/>
      <c r="F65" s="22"/>
      <c r="G65" s="23"/>
      <c r="H65" s="23"/>
      <c r="I65" s="74" t="s">
        <v>93</v>
      </c>
      <c r="J65" s="75">
        <f>SUM(J62:J64)</f>
        <v>5.6696428571428568</v>
      </c>
    </row>
    <row r="66" spans="1:10" ht="15.75" thickBot="1" x14ac:dyDescent="0.3">
      <c r="A66" s="5"/>
      <c r="C66" s="5"/>
      <c r="D66" s="5"/>
      <c r="E66" s="5"/>
      <c r="F66" s="22"/>
      <c r="G66" s="23"/>
      <c r="H66" s="23"/>
      <c r="I66" s="23"/>
      <c r="J66" s="24"/>
    </row>
    <row r="67" spans="1:10" ht="15.75" thickBot="1" x14ac:dyDescent="0.3">
      <c r="A67" s="94" t="s">
        <v>32</v>
      </c>
      <c r="B67" s="95"/>
      <c r="C67" s="95"/>
      <c r="D67" s="95"/>
      <c r="E67" s="95"/>
      <c r="F67" s="95"/>
      <c r="G67" s="95"/>
      <c r="H67" s="95"/>
      <c r="I67" s="95"/>
      <c r="J67" s="96"/>
    </row>
    <row r="68" spans="1:10" ht="30" x14ac:dyDescent="0.25">
      <c r="A68" s="25" t="s">
        <v>6</v>
      </c>
      <c r="B68" s="25" t="s">
        <v>4</v>
      </c>
      <c r="C68" s="25" t="s">
        <v>7</v>
      </c>
      <c r="D68" s="26" t="s">
        <v>27</v>
      </c>
      <c r="E68" s="26" t="s">
        <v>5</v>
      </c>
      <c r="F68" s="101" t="s">
        <v>37</v>
      </c>
      <c r="G68" s="102"/>
      <c r="H68" s="102"/>
      <c r="I68" s="103"/>
      <c r="J68" s="26" t="s">
        <v>36</v>
      </c>
    </row>
    <row r="69" spans="1:10" ht="30" x14ac:dyDescent="0.25">
      <c r="A69" s="13" t="s">
        <v>23</v>
      </c>
      <c r="B69" s="13" t="s">
        <v>50</v>
      </c>
      <c r="C69" s="3" t="s">
        <v>33</v>
      </c>
      <c r="D69" s="30">
        <v>1</v>
      </c>
      <c r="E69" s="21">
        <v>27.63</v>
      </c>
      <c r="F69" s="104">
        <f>D69*E69</f>
        <v>27.63</v>
      </c>
      <c r="G69" s="104"/>
      <c r="H69" s="104"/>
      <c r="I69" s="104"/>
      <c r="J69" s="27">
        <f>F69</f>
        <v>27.63</v>
      </c>
    </row>
    <row r="70" spans="1:10" x14ac:dyDescent="0.25">
      <c r="A70" s="9"/>
      <c r="B70" s="60" t="s">
        <v>9</v>
      </c>
      <c r="C70" s="60"/>
      <c r="D70" s="60"/>
      <c r="E70" s="60"/>
      <c r="F70" s="60"/>
      <c r="G70" s="60"/>
      <c r="H70" s="31"/>
      <c r="I70" s="74" t="s">
        <v>93</v>
      </c>
      <c r="J70" s="10">
        <f>SUM(J69:J69)</f>
        <v>27.63</v>
      </c>
    </row>
    <row r="72" spans="1:10" x14ac:dyDescent="0.25">
      <c r="A72" s="56" t="s">
        <v>28</v>
      </c>
      <c r="B72" s="56"/>
      <c r="C72" s="56"/>
      <c r="D72" s="56"/>
      <c r="E72" s="56"/>
      <c r="F72" s="56"/>
      <c r="G72" s="56"/>
      <c r="H72" s="56"/>
      <c r="I72" s="56"/>
      <c r="J72" s="12">
        <f>SUM(J65,J70)</f>
        <v>33.299642857142857</v>
      </c>
    </row>
    <row r="73" spans="1:10" x14ac:dyDescent="0.25">
      <c r="A73" s="61" t="s">
        <v>60</v>
      </c>
      <c r="B73" s="61"/>
      <c r="C73" s="61"/>
      <c r="D73" s="61"/>
      <c r="E73" s="61"/>
      <c r="F73" s="61"/>
      <c r="G73" s="61"/>
      <c r="H73" s="61"/>
      <c r="I73" s="61"/>
      <c r="J73" s="39">
        <f>J72/N12</f>
        <v>8.1944153680766726E-2</v>
      </c>
    </row>
    <row r="74" spans="1:10" ht="21.75" customHeight="1" x14ac:dyDescent="0.25"/>
    <row r="75" spans="1:10" ht="21.75" customHeight="1" x14ac:dyDescent="0.25">
      <c r="A75" s="117" t="s">
        <v>104</v>
      </c>
      <c r="B75" s="117"/>
      <c r="C75" s="117"/>
      <c r="D75" s="117"/>
      <c r="E75" s="117"/>
      <c r="F75" s="117"/>
    </row>
    <row r="76" spans="1:10" ht="30" customHeight="1" x14ac:dyDescent="0.25">
      <c r="A76" s="37" t="s">
        <v>41</v>
      </c>
      <c r="B76" s="37" t="s">
        <v>52</v>
      </c>
      <c r="C76" s="37" t="s">
        <v>53</v>
      </c>
      <c r="D76" s="37" t="s">
        <v>54</v>
      </c>
      <c r="E76" s="37" t="s">
        <v>98</v>
      </c>
      <c r="F76" s="37" t="s">
        <v>99</v>
      </c>
    </row>
    <row r="77" spans="1:10" ht="33.75" customHeight="1" x14ac:dyDescent="0.25">
      <c r="A77" s="38" t="s">
        <v>57</v>
      </c>
      <c r="B77" s="32">
        <v>68271</v>
      </c>
      <c r="C77" s="43">
        <v>0.6</v>
      </c>
      <c r="D77" s="41">
        <f>C77*$B$77</f>
        <v>40962.6</v>
      </c>
      <c r="E77" s="79">
        <f>J29</f>
        <v>1.6545583333333332E-2</v>
      </c>
      <c r="F77" s="79">
        <f>D77*E77</f>
        <v>677.75011184999994</v>
      </c>
    </row>
    <row r="78" spans="1:10" ht="30" x14ac:dyDescent="0.25">
      <c r="A78" s="38" t="s">
        <v>42</v>
      </c>
      <c r="B78" s="32">
        <v>68271</v>
      </c>
      <c r="C78" s="43">
        <v>0.4</v>
      </c>
      <c r="D78" s="41">
        <f>C78*$B$77</f>
        <v>27308.400000000001</v>
      </c>
      <c r="E78" s="79">
        <f>J53</f>
        <v>0.31517392290249435</v>
      </c>
      <c r="F78" s="79">
        <f>D78*E78</f>
        <v>8606.8955561904768</v>
      </c>
    </row>
    <row r="79" spans="1:10" x14ac:dyDescent="0.25">
      <c r="E79" s="87"/>
      <c r="F79" s="87"/>
    </row>
    <row r="80" spans="1:10" ht="41.25" customHeight="1" x14ac:dyDescent="0.25">
      <c r="A80" s="121" t="s">
        <v>105</v>
      </c>
      <c r="B80" s="121"/>
      <c r="C80" s="121"/>
      <c r="D80" s="121"/>
      <c r="E80" s="121"/>
      <c r="F80" s="121"/>
    </row>
    <row r="81" spans="1:10" ht="30" x14ac:dyDescent="0.25">
      <c r="A81" s="37" t="s">
        <v>41</v>
      </c>
      <c r="B81" s="37" t="s">
        <v>52</v>
      </c>
      <c r="C81" s="37" t="s">
        <v>53</v>
      </c>
      <c r="D81" s="37" t="s">
        <v>54</v>
      </c>
      <c r="E81" s="37" t="s">
        <v>98</v>
      </c>
      <c r="F81" s="37"/>
    </row>
    <row r="82" spans="1:10" ht="42.75" customHeight="1" x14ac:dyDescent="0.25">
      <c r="A82" s="38" t="s">
        <v>94</v>
      </c>
      <c r="B82" s="32">
        <v>68271</v>
      </c>
      <c r="C82" s="43">
        <v>1</v>
      </c>
      <c r="D82" s="41">
        <f>C82*$B$77</f>
        <v>68271</v>
      </c>
      <c r="E82" s="80">
        <f>J73</f>
        <v>8.1944153680766726E-2</v>
      </c>
      <c r="F82" s="79">
        <f>D82*E82</f>
        <v>5594.4093159396252</v>
      </c>
    </row>
    <row r="83" spans="1:10" ht="42.75" customHeight="1" x14ac:dyDescent="0.25">
      <c r="A83" s="81"/>
      <c r="C83" s="82"/>
      <c r="D83" s="72"/>
      <c r="E83" s="83"/>
      <c r="F83" s="84"/>
    </row>
    <row r="84" spans="1:10" ht="70.5" customHeight="1" x14ac:dyDescent="0.25">
      <c r="A84" s="85" t="s">
        <v>100</v>
      </c>
      <c r="B84" s="86">
        <f>SUM(F77:F78,F82)</f>
        <v>14879.054983980102</v>
      </c>
      <c r="C84" s="82"/>
      <c r="D84" s="72"/>
      <c r="E84" s="83"/>
      <c r="F84" s="84"/>
    </row>
    <row r="85" spans="1:10" ht="67.5" customHeight="1" x14ac:dyDescent="0.25">
      <c r="A85" s="85" t="s">
        <v>101</v>
      </c>
      <c r="B85" s="86">
        <f>B84/B77</f>
        <v>0.21794107284176448</v>
      </c>
      <c r="C85" s="82"/>
      <c r="D85" s="72"/>
      <c r="E85" s="83"/>
      <c r="F85" s="84"/>
    </row>
    <row r="87" spans="1:10" x14ac:dyDescent="0.25">
      <c r="A87" s="7" t="s">
        <v>58</v>
      </c>
      <c r="B87" s="56" t="s">
        <v>97</v>
      </c>
      <c r="C87" s="56"/>
      <c r="D87" s="56"/>
      <c r="E87" s="56"/>
      <c r="F87" s="56"/>
      <c r="G87" s="56"/>
      <c r="H87" s="56"/>
      <c r="I87" s="56"/>
      <c r="J87" s="21">
        <f>B85</f>
        <v>0.21794107284176448</v>
      </c>
    </row>
    <row r="88" spans="1:10" x14ac:dyDescent="0.25">
      <c r="A88" s="7" t="s">
        <v>102</v>
      </c>
      <c r="B88" s="57" t="s">
        <v>103</v>
      </c>
      <c r="C88" s="58"/>
      <c r="D88" s="58"/>
      <c r="E88" s="58"/>
      <c r="F88" s="58"/>
      <c r="G88" s="58"/>
      <c r="H88" s="58"/>
      <c r="I88" s="59"/>
      <c r="J88" s="43">
        <f>'BDI ITEM 8'!B19</f>
        <v>0.26739779689518284</v>
      </c>
    </row>
    <row r="89" spans="1:10" x14ac:dyDescent="0.25">
      <c r="A89" s="28" t="s">
        <v>58</v>
      </c>
      <c r="B89" s="61" t="s">
        <v>82</v>
      </c>
      <c r="C89" s="61"/>
      <c r="D89" s="61"/>
      <c r="E89" s="61"/>
      <c r="F89" s="61"/>
      <c r="G89" s="61"/>
      <c r="H89" s="61"/>
      <c r="I89" s="61"/>
      <c r="J89" s="29">
        <f>ROUND(J87+(J87*'BDI ITEM 8'!B19),2)</f>
        <v>0.28000000000000003</v>
      </c>
    </row>
    <row r="90" spans="1:10" x14ac:dyDescent="0.25">
      <c r="A90" s="7" t="s">
        <v>58</v>
      </c>
      <c r="B90" s="56" t="s">
        <v>83</v>
      </c>
      <c r="C90" s="56"/>
      <c r="D90" s="56"/>
      <c r="E90" s="56"/>
      <c r="F90" s="56"/>
      <c r="G90" s="56"/>
      <c r="H90" s="56"/>
      <c r="I90" s="56"/>
      <c r="J90" s="55">
        <f>J89*B77</f>
        <v>19115.88</v>
      </c>
    </row>
    <row r="91" spans="1:10" x14ac:dyDescent="0.25">
      <c r="A91" s="7" t="s">
        <v>58</v>
      </c>
      <c r="B91" s="56" t="s">
        <v>84</v>
      </c>
      <c r="C91" s="56"/>
      <c r="D91" s="56"/>
      <c r="E91" s="56"/>
      <c r="F91" s="56"/>
      <c r="G91" s="56"/>
      <c r="H91" s="56"/>
      <c r="I91" s="56"/>
      <c r="J91" s="55">
        <f>J90*12</f>
        <v>229390.56</v>
      </c>
    </row>
    <row r="92" spans="1:10" x14ac:dyDescent="0.25">
      <c r="A92" s="7" t="s">
        <v>58</v>
      </c>
      <c r="B92" s="56" t="s">
        <v>85</v>
      </c>
      <c r="C92" s="56"/>
      <c r="D92" s="56"/>
      <c r="E92" s="56"/>
      <c r="F92" s="56"/>
      <c r="G92" s="56"/>
      <c r="H92" s="56"/>
      <c r="I92" s="56"/>
      <c r="J92" s="55">
        <f>J90*60</f>
        <v>1146952.8</v>
      </c>
    </row>
    <row r="93" spans="1:10" x14ac:dyDescent="0.25">
      <c r="J93" s="33"/>
    </row>
    <row r="94" spans="1:10" x14ac:dyDescent="0.25">
      <c r="A94" s="62"/>
      <c r="B94" s="62"/>
      <c r="C94" s="62"/>
      <c r="D94" s="62"/>
      <c r="E94" s="62"/>
      <c r="F94" s="62"/>
    </row>
  </sheetData>
  <mergeCells count="37">
    <mergeCell ref="F48:I48"/>
    <mergeCell ref="F49:I49"/>
    <mergeCell ref="F68:I68"/>
    <mergeCell ref="F69:I69"/>
    <mergeCell ref="A4:J4"/>
    <mergeCell ref="L7:P7"/>
    <mergeCell ref="F23:I23"/>
    <mergeCell ref="F24:I24"/>
    <mergeCell ref="F25:I25"/>
    <mergeCell ref="A8:J8"/>
    <mergeCell ref="A53:I53"/>
    <mergeCell ref="B87:I87"/>
    <mergeCell ref="B89:I89"/>
    <mergeCell ref="A94:F94"/>
    <mergeCell ref="A57:J57"/>
    <mergeCell ref="A59:J59"/>
    <mergeCell ref="A67:J67"/>
    <mergeCell ref="B70:G70"/>
    <mergeCell ref="A72:I72"/>
    <mergeCell ref="B90:I90"/>
    <mergeCell ref="B91:I91"/>
    <mergeCell ref="B88:I88"/>
    <mergeCell ref="A75:F75"/>
    <mergeCell ref="B92:I92"/>
    <mergeCell ref="A52:I52"/>
    <mergeCell ref="A6:J6"/>
    <mergeCell ref="A17:J17"/>
    <mergeCell ref="A22:J22"/>
    <mergeCell ref="A28:I28"/>
    <mergeCell ref="A29:I29"/>
    <mergeCell ref="A33:J33"/>
    <mergeCell ref="A35:J35"/>
    <mergeCell ref="A42:J42"/>
    <mergeCell ref="A46:J46"/>
    <mergeCell ref="A73:I73"/>
    <mergeCell ref="A80:F80"/>
    <mergeCell ref="F47:I47"/>
  </mergeCells>
  <phoneticPr fontId="17" type="noConversion"/>
  <pageMargins left="0.511811024" right="0.511811024" top="0.78740157499999996" bottom="0.78740157499999996" header="0.31496062000000002" footer="0.31496062000000002"/>
  <pageSetup paperSize="9" scale="87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A502A-4F01-4C00-B2C2-BE2ED09B5D3F}">
  <dimension ref="A1:D19"/>
  <sheetViews>
    <sheetView showGridLines="0" view="pageBreakPreview" zoomScale="130" zoomScaleNormal="100" zoomScaleSheetLayoutView="130" workbookViewId="0">
      <selection activeCell="E6" sqref="E6"/>
    </sheetView>
  </sheetViews>
  <sheetFormatPr defaultRowHeight="15" x14ac:dyDescent="0.25"/>
  <cols>
    <col min="1" max="1" width="36" customWidth="1"/>
    <col min="2" max="2" width="14.140625" customWidth="1"/>
  </cols>
  <sheetData>
    <row r="1" spans="1:4" ht="69.75" customHeight="1" x14ac:dyDescent="0.25"/>
    <row r="2" spans="1:4" x14ac:dyDescent="0.25">
      <c r="A2" s="63" t="s">
        <v>61</v>
      </c>
      <c r="B2" s="63"/>
    </row>
    <row r="3" spans="1:4" ht="33.75" customHeight="1" x14ac:dyDescent="0.25">
      <c r="A3" s="64" t="s">
        <v>62</v>
      </c>
      <c r="B3" s="64"/>
    </row>
    <row r="4" spans="1:4" x14ac:dyDescent="0.25">
      <c r="A4" s="65"/>
      <c r="B4" s="65"/>
    </row>
    <row r="5" spans="1:4" x14ac:dyDescent="0.25">
      <c r="A5" s="56" t="s">
        <v>11</v>
      </c>
      <c r="B5" s="56"/>
    </row>
    <row r="6" spans="1:4" x14ac:dyDescent="0.25">
      <c r="A6" s="56" t="s">
        <v>77</v>
      </c>
      <c r="B6" s="56"/>
    </row>
    <row r="7" spans="1:4" x14ac:dyDescent="0.25">
      <c r="A7" s="56" t="s">
        <v>78</v>
      </c>
      <c r="B7" s="56"/>
    </row>
    <row r="8" spans="1:4" x14ac:dyDescent="0.25">
      <c r="A8" s="56" t="s">
        <v>12</v>
      </c>
      <c r="B8" s="56"/>
    </row>
    <row r="9" spans="1:4" x14ac:dyDescent="0.25">
      <c r="A9" s="56" t="s">
        <v>13</v>
      </c>
      <c r="B9" s="56"/>
    </row>
    <row r="10" spans="1:4" x14ac:dyDescent="0.25">
      <c r="A10" s="3" t="s">
        <v>14</v>
      </c>
      <c r="B10" s="3"/>
    </row>
    <row r="11" spans="1:4" x14ac:dyDescent="0.25">
      <c r="A11" s="14" t="s">
        <v>15</v>
      </c>
      <c r="B11" s="15">
        <v>4.9199999999999994E-2</v>
      </c>
    </row>
    <row r="12" spans="1:4" x14ac:dyDescent="0.25">
      <c r="A12" s="14" t="s">
        <v>16</v>
      </c>
      <c r="B12" s="16">
        <v>7.4000000000000003E-3</v>
      </c>
      <c r="D12" s="1"/>
    </row>
    <row r="13" spans="1:4" x14ac:dyDescent="0.25">
      <c r="A13" s="14" t="s">
        <v>17</v>
      </c>
      <c r="B13" s="16">
        <v>9.7000000000000003E-3</v>
      </c>
    </row>
    <row r="14" spans="1:4" x14ac:dyDescent="0.25">
      <c r="A14" s="14" t="s">
        <v>18</v>
      </c>
      <c r="B14" s="16">
        <v>1.21E-2</v>
      </c>
    </row>
    <row r="15" spans="1:4" x14ac:dyDescent="0.25">
      <c r="A15" s="14" t="s">
        <v>19</v>
      </c>
      <c r="B15" s="15">
        <v>0.04</v>
      </c>
    </row>
    <row r="16" spans="1:4" x14ac:dyDescent="0.25">
      <c r="A16" s="14" t="s">
        <v>20</v>
      </c>
      <c r="B16" s="16">
        <f>'APURAÇÃO PIS.COFINS PALMACEA'!E4+5%</f>
        <v>0.11442932759585449</v>
      </c>
    </row>
    <row r="17" spans="1:2" x14ac:dyDescent="0.25">
      <c r="A17" s="14" t="s">
        <v>21</v>
      </c>
      <c r="B17" s="16">
        <v>0</v>
      </c>
    </row>
    <row r="18" spans="1:2" x14ac:dyDescent="0.25">
      <c r="A18" s="2"/>
      <c r="B18" s="2"/>
    </row>
    <row r="19" spans="1:2" x14ac:dyDescent="0.25">
      <c r="A19" s="17" t="s">
        <v>22</v>
      </c>
      <c r="B19" s="18">
        <f>((1+B11+B12+B13)*(1+B14)*(1+B15)/(1-(B16+B17))-1)</f>
        <v>0.26739779689518284</v>
      </c>
    </row>
  </sheetData>
  <mergeCells count="8">
    <mergeCell ref="A7:B7"/>
    <mergeCell ref="A8:B8"/>
    <mergeCell ref="A9:B9"/>
    <mergeCell ref="A2:B2"/>
    <mergeCell ref="A3:B3"/>
    <mergeCell ref="A4:B4"/>
    <mergeCell ref="A5:B5"/>
    <mergeCell ref="A6:B6"/>
  </mergeCells>
  <pageMargins left="0.511811024" right="0.511811024" top="0.78740157499999996" bottom="0.78740157499999996" header="0.31496062000000002" footer="0.31496062000000002"/>
  <pageSetup paperSize="9" scale="8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A49DB-EFBC-484B-B2E1-390285EBDBD8}">
  <dimension ref="B1:G36"/>
  <sheetViews>
    <sheetView showGridLines="0" workbookViewId="0">
      <selection activeCell="G36" sqref="G36"/>
    </sheetView>
  </sheetViews>
  <sheetFormatPr defaultColWidth="9.140625" defaultRowHeight="15.75" x14ac:dyDescent="0.25"/>
  <cols>
    <col min="1" max="1" width="9.140625" style="44"/>
    <col min="2" max="2" width="6.7109375" style="44" bestFit="1" customWidth="1"/>
    <col min="3" max="3" width="18.140625" style="44" bestFit="1" customWidth="1"/>
    <col min="4" max="4" width="18.5703125" style="44" bestFit="1" customWidth="1"/>
    <col min="5" max="6" width="17.42578125" style="44" bestFit="1" customWidth="1"/>
    <col min="7" max="7" width="16" style="44" bestFit="1" customWidth="1"/>
    <col min="8" max="16384" width="9.140625" style="44"/>
  </cols>
  <sheetData>
    <row r="1" spans="2:7" ht="67.5" customHeight="1" x14ac:dyDescent="0.25">
      <c r="B1" s="67" t="s">
        <v>63</v>
      </c>
      <c r="C1" s="67"/>
      <c r="D1" s="67"/>
      <c r="E1" s="67"/>
      <c r="F1" s="67"/>
      <c r="G1" s="67"/>
    </row>
    <row r="2" spans="2:7" ht="18" x14ac:dyDescent="0.25">
      <c r="B2" s="68"/>
      <c r="C2" s="68"/>
      <c r="D2" s="68"/>
      <c r="E2" s="68"/>
      <c r="F2" s="68"/>
      <c r="G2" s="68"/>
    </row>
    <row r="3" spans="2:7" x14ac:dyDescent="0.25">
      <c r="B3" s="69" t="s">
        <v>64</v>
      </c>
      <c r="C3" s="69"/>
      <c r="D3" s="69"/>
      <c r="E3" s="69"/>
      <c r="F3" s="69"/>
      <c r="G3" s="69"/>
    </row>
    <row r="4" spans="2:7" x14ac:dyDescent="0.25">
      <c r="B4" s="45"/>
      <c r="C4" s="45"/>
      <c r="D4" s="45"/>
      <c r="E4" s="46">
        <f>G20+G36</f>
        <v>6.4429327595854485E-2</v>
      </c>
      <c r="F4" s="45"/>
      <c r="G4" s="45"/>
    </row>
    <row r="5" spans="2:7" x14ac:dyDescent="0.25">
      <c r="B5" s="66" t="s">
        <v>65</v>
      </c>
      <c r="C5" s="66"/>
      <c r="D5" s="66"/>
      <c r="E5" s="66"/>
      <c r="F5" s="66"/>
      <c r="G5" s="66"/>
    </row>
    <row r="6" spans="2:7" x14ac:dyDescent="0.25">
      <c r="B6" s="47" t="s">
        <v>66</v>
      </c>
      <c r="C6" s="48" t="s">
        <v>67</v>
      </c>
      <c r="D6" s="48" t="s">
        <v>68</v>
      </c>
      <c r="E6" s="48" t="s">
        <v>69</v>
      </c>
      <c r="F6" s="48" t="s">
        <v>70</v>
      </c>
      <c r="G6" s="48" t="s">
        <v>71</v>
      </c>
    </row>
    <row r="7" spans="2:7" x14ac:dyDescent="0.25">
      <c r="B7" s="49"/>
      <c r="C7" s="49" t="s">
        <v>0</v>
      </c>
      <c r="D7" s="49" t="s">
        <v>72</v>
      </c>
      <c r="E7" s="49" t="s">
        <v>1</v>
      </c>
      <c r="F7" s="49" t="s">
        <v>73</v>
      </c>
      <c r="G7" s="49" t="s">
        <v>74</v>
      </c>
    </row>
    <row r="8" spans="2:7" x14ac:dyDescent="0.25">
      <c r="B8" s="50">
        <v>45200</v>
      </c>
      <c r="C8" s="51">
        <v>1534093</v>
      </c>
      <c r="D8" s="51">
        <f t="shared" ref="D8:D19" si="0">C8*1.65%</f>
        <v>25312.534500000002</v>
      </c>
      <c r="E8" s="51">
        <v>11473.24</v>
      </c>
      <c r="F8" s="51">
        <f t="shared" ref="F8:F19" si="1">D8-E8</f>
        <v>13839.294500000002</v>
      </c>
      <c r="G8" s="52">
        <f t="shared" ref="G8:G19" si="2">F8/C8</f>
        <v>9.021157452644658E-3</v>
      </c>
    </row>
    <row r="9" spans="2:7" x14ac:dyDescent="0.25">
      <c r="B9" s="50">
        <v>45231</v>
      </c>
      <c r="C9" s="51">
        <v>2706747.91</v>
      </c>
      <c r="D9" s="51">
        <f t="shared" si="0"/>
        <v>44661.340515000004</v>
      </c>
      <c r="E9" s="51">
        <v>10376.42</v>
      </c>
      <c r="F9" s="51">
        <f t="shared" si="1"/>
        <v>34284.920515000005</v>
      </c>
      <c r="G9" s="52">
        <f t="shared" si="2"/>
        <v>1.2666462358144023E-2</v>
      </c>
    </row>
    <row r="10" spans="2:7" x14ac:dyDescent="0.25">
      <c r="B10" s="50">
        <v>45261</v>
      </c>
      <c r="C10" s="51">
        <v>1914158.52</v>
      </c>
      <c r="D10" s="51">
        <f t="shared" si="0"/>
        <v>31583.615580000002</v>
      </c>
      <c r="E10" s="51">
        <v>11434.12</v>
      </c>
      <c r="F10" s="51">
        <f t="shared" si="1"/>
        <v>20149.495580000003</v>
      </c>
      <c r="G10" s="52">
        <f t="shared" si="2"/>
        <v>1.0526555334612518E-2</v>
      </c>
    </row>
    <row r="11" spans="2:7" x14ac:dyDescent="0.25">
      <c r="B11" s="50">
        <v>45292</v>
      </c>
      <c r="C11" s="51">
        <v>1971414.07</v>
      </c>
      <c r="D11" s="51">
        <f t="shared" si="0"/>
        <v>32528.332155000004</v>
      </c>
      <c r="E11" s="51">
        <v>10032.73</v>
      </c>
      <c r="F11" s="51">
        <f t="shared" si="1"/>
        <v>22495.602155000004</v>
      </c>
      <c r="G11" s="52">
        <f t="shared" si="2"/>
        <v>1.1410896623559151E-2</v>
      </c>
    </row>
    <row r="12" spans="2:7" x14ac:dyDescent="0.25">
      <c r="B12" s="50">
        <v>45323</v>
      </c>
      <c r="C12" s="51">
        <v>1524343.28</v>
      </c>
      <c r="D12" s="51">
        <f t="shared" si="0"/>
        <v>25151.664120000001</v>
      </c>
      <c r="E12" s="51">
        <v>10192.73</v>
      </c>
      <c r="F12" s="51">
        <f t="shared" si="1"/>
        <v>14958.934120000002</v>
      </c>
      <c r="G12" s="52">
        <f t="shared" si="2"/>
        <v>9.8133631159511535E-3</v>
      </c>
    </row>
    <row r="13" spans="2:7" x14ac:dyDescent="0.25">
      <c r="B13" s="50">
        <v>45352</v>
      </c>
      <c r="C13" s="51">
        <v>2784191.36</v>
      </c>
      <c r="D13" s="51">
        <f t="shared" si="0"/>
        <v>45939.157440000003</v>
      </c>
      <c r="E13" s="51">
        <v>10041.219999999999</v>
      </c>
      <c r="F13" s="51">
        <f t="shared" si="1"/>
        <v>35897.937440000002</v>
      </c>
      <c r="G13" s="52">
        <f t="shared" si="2"/>
        <v>1.2893487838422141E-2</v>
      </c>
    </row>
    <row r="14" spans="2:7" x14ac:dyDescent="0.25">
      <c r="B14" s="50">
        <v>45383</v>
      </c>
      <c r="C14" s="51">
        <v>1686067.51</v>
      </c>
      <c r="D14" s="51">
        <f t="shared" si="0"/>
        <v>27820.113915000002</v>
      </c>
      <c r="E14" s="51">
        <v>10184.74</v>
      </c>
      <c r="F14" s="51">
        <f t="shared" si="1"/>
        <v>17635.373915000004</v>
      </c>
      <c r="G14" s="52">
        <f t="shared" si="2"/>
        <v>1.0459470816207118E-2</v>
      </c>
    </row>
    <row r="15" spans="2:7" x14ac:dyDescent="0.25">
      <c r="B15" s="50">
        <v>45413</v>
      </c>
      <c r="C15" s="51">
        <v>1928774.22</v>
      </c>
      <c r="D15" s="51">
        <f t="shared" si="0"/>
        <v>31824.77463</v>
      </c>
      <c r="E15" s="51">
        <v>11389.52</v>
      </c>
      <c r="F15" s="51">
        <f t="shared" si="1"/>
        <v>20435.254629999999</v>
      </c>
      <c r="G15" s="52">
        <f t="shared" si="2"/>
        <v>1.0594943886174504E-2</v>
      </c>
    </row>
    <row r="16" spans="2:7" x14ac:dyDescent="0.25">
      <c r="B16" s="50">
        <v>45444</v>
      </c>
      <c r="C16" s="51">
        <v>2508731.33</v>
      </c>
      <c r="D16" s="51">
        <f t="shared" si="0"/>
        <v>41394.066945000006</v>
      </c>
      <c r="E16" s="51">
        <v>9794.49</v>
      </c>
      <c r="F16" s="51">
        <f t="shared" si="1"/>
        <v>31599.576945000008</v>
      </c>
      <c r="G16" s="52">
        <f t="shared" si="2"/>
        <v>1.2595839405808357E-2</v>
      </c>
    </row>
    <row r="17" spans="2:7" x14ac:dyDescent="0.25">
      <c r="B17" s="50">
        <v>45474</v>
      </c>
      <c r="C17" s="51">
        <v>2842597.23</v>
      </c>
      <c r="D17" s="51">
        <f t="shared" si="0"/>
        <v>46902.854295000005</v>
      </c>
      <c r="E17" s="51">
        <v>11097.93</v>
      </c>
      <c r="F17" s="51">
        <f t="shared" si="1"/>
        <v>35804.924295000004</v>
      </c>
      <c r="G17" s="52">
        <f t="shared" si="2"/>
        <v>1.2595848584218878E-2</v>
      </c>
    </row>
    <row r="18" spans="2:7" x14ac:dyDescent="0.25">
      <c r="B18" s="50">
        <v>45505</v>
      </c>
      <c r="C18" s="51">
        <v>3147520.42</v>
      </c>
      <c r="D18" s="51">
        <f t="shared" si="0"/>
        <v>51934.086929999998</v>
      </c>
      <c r="E18" s="51">
        <v>10077.32</v>
      </c>
      <c r="F18" s="51">
        <f t="shared" si="1"/>
        <v>41856.766929999998</v>
      </c>
      <c r="G18" s="52">
        <f t="shared" si="2"/>
        <v>1.3298330541093042E-2</v>
      </c>
    </row>
    <row r="19" spans="2:7" x14ac:dyDescent="0.25">
      <c r="B19" s="50">
        <v>45536</v>
      </c>
      <c r="C19" s="51">
        <v>2438920.4</v>
      </c>
      <c r="D19" s="51">
        <f t="shared" si="0"/>
        <v>40242.186600000001</v>
      </c>
      <c r="E19" s="51">
        <v>10884.35</v>
      </c>
      <c r="F19" s="51">
        <f t="shared" si="1"/>
        <v>29357.836600000002</v>
      </c>
      <c r="G19" s="52">
        <f t="shared" si="2"/>
        <v>1.2037226225177338E-2</v>
      </c>
    </row>
    <row r="20" spans="2:7" x14ac:dyDescent="0.25">
      <c r="B20" s="66" t="s">
        <v>75</v>
      </c>
      <c r="C20" s="66"/>
      <c r="D20" s="66"/>
      <c r="E20" s="66"/>
      <c r="F20" s="66"/>
      <c r="G20" s="53">
        <f>AVERAGE(G8:G19)</f>
        <v>1.149279851516774E-2</v>
      </c>
    </row>
    <row r="21" spans="2:7" x14ac:dyDescent="0.25">
      <c r="B21" s="45"/>
    </row>
    <row r="22" spans="2:7" x14ac:dyDescent="0.25">
      <c r="B22" s="66" t="s">
        <v>76</v>
      </c>
      <c r="C22" s="66"/>
      <c r="D22" s="66"/>
      <c r="E22" s="66"/>
      <c r="F22" s="66"/>
      <c r="G22" s="66"/>
    </row>
    <row r="23" spans="2:7" x14ac:dyDescent="0.25">
      <c r="B23" s="47" t="s">
        <v>66</v>
      </c>
      <c r="C23" s="48" t="s">
        <v>67</v>
      </c>
      <c r="D23" s="48" t="s">
        <v>68</v>
      </c>
      <c r="E23" s="48" t="s">
        <v>69</v>
      </c>
      <c r="F23" s="48" t="s">
        <v>70</v>
      </c>
      <c r="G23" s="48" t="s">
        <v>71</v>
      </c>
    </row>
    <row r="24" spans="2:7" x14ac:dyDescent="0.25">
      <c r="B24" s="50">
        <v>45200</v>
      </c>
      <c r="C24" s="51">
        <f t="shared" ref="C24:C35" si="3">C8</f>
        <v>1534093</v>
      </c>
      <c r="D24" s="51">
        <f t="shared" ref="D24:D35" si="4">C24*7.6%</f>
        <v>116591.068</v>
      </c>
      <c r="E24" s="54">
        <v>52846.44</v>
      </c>
      <c r="F24" s="51">
        <f t="shared" ref="F24:F35" si="5">D24-E24</f>
        <v>63744.627999999997</v>
      </c>
      <c r="G24" s="52">
        <f t="shared" ref="G24:G35" si="6">F24/C24</f>
        <v>4.1551997173574218E-2</v>
      </c>
    </row>
    <row r="25" spans="2:7" x14ac:dyDescent="0.25">
      <c r="B25" s="50">
        <v>45231</v>
      </c>
      <c r="C25" s="51">
        <f t="shared" si="3"/>
        <v>2706747.91</v>
      </c>
      <c r="D25" s="51">
        <f t="shared" si="4"/>
        <v>205712.84116000001</v>
      </c>
      <c r="E25" s="54">
        <v>47794.44</v>
      </c>
      <c r="F25" s="51">
        <f t="shared" si="5"/>
        <v>157918.40116000001</v>
      </c>
      <c r="G25" s="52">
        <f t="shared" si="6"/>
        <v>5.8342485673148634E-2</v>
      </c>
    </row>
    <row r="26" spans="2:7" x14ac:dyDescent="0.25">
      <c r="B26" s="50">
        <v>45261</v>
      </c>
      <c r="C26" s="51">
        <f t="shared" si="3"/>
        <v>1914158.52</v>
      </c>
      <c r="D26" s="51">
        <f t="shared" si="4"/>
        <v>145476.04751999999</v>
      </c>
      <c r="E26" s="54">
        <v>52666.23</v>
      </c>
      <c r="F26" s="51">
        <f t="shared" si="5"/>
        <v>92809.817519999982</v>
      </c>
      <c r="G26" s="52">
        <f t="shared" si="6"/>
        <v>4.8485962134421336E-2</v>
      </c>
    </row>
    <row r="27" spans="2:7" x14ac:dyDescent="0.25">
      <c r="B27" s="50">
        <v>45292</v>
      </c>
      <c r="C27" s="51">
        <f t="shared" si="3"/>
        <v>1971414.07</v>
      </c>
      <c r="D27" s="51">
        <f t="shared" si="4"/>
        <v>149827.46932</v>
      </c>
      <c r="E27" s="54">
        <v>46211.37</v>
      </c>
      <c r="F27" s="51">
        <f t="shared" si="5"/>
        <v>103616.09932000001</v>
      </c>
      <c r="G27" s="52">
        <f t="shared" si="6"/>
        <v>5.255927757480193E-2</v>
      </c>
    </row>
    <row r="28" spans="2:7" x14ac:dyDescent="0.25">
      <c r="B28" s="50">
        <v>45323</v>
      </c>
      <c r="C28" s="51">
        <f t="shared" si="3"/>
        <v>1524343.28</v>
      </c>
      <c r="D28" s="51">
        <f t="shared" si="4"/>
        <v>115850.08928</v>
      </c>
      <c r="E28" s="54">
        <v>46948.32</v>
      </c>
      <c r="F28" s="51">
        <f t="shared" si="5"/>
        <v>68901.769280000008</v>
      </c>
      <c r="G28" s="52">
        <f t="shared" si="6"/>
        <v>4.5200953213110899E-2</v>
      </c>
    </row>
    <row r="29" spans="2:7" x14ac:dyDescent="0.25">
      <c r="B29" s="50">
        <v>45352</v>
      </c>
      <c r="C29" s="51">
        <f t="shared" si="3"/>
        <v>2784191.36</v>
      </c>
      <c r="D29" s="51">
        <f t="shared" si="4"/>
        <v>211598.54335999998</v>
      </c>
      <c r="E29" s="54">
        <v>46250.48</v>
      </c>
      <c r="F29" s="51">
        <f t="shared" si="5"/>
        <v>165348.06335999997</v>
      </c>
      <c r="G29" s="52">
        <f t="shared" si="6"/>
        <v>5.9388182053693311E-2</v>
      </c>
    </row>
    <row r="30" spans="2:7" x14ac:dyDescent="0.25">
      <c r="B30" s="50">
        <v>45383</v>
      </c>
      <c r="C30" s="51">
        <f t="shared" si="3"/>
        <v>1686067.51</v>
      </c>
      <c r="D30" s="51">
        <f t="shared" si="4"/>
        <v>128141.13076</v>
      </c>
      <c r="E30" s="54">
        <v>46911.45</v>
      </c>
      <c r="F30" s="51">
        <f t="shared" si="5"/>
        <v>81229.680760000003</v>
      </c>
      <c r="G30" s="52">
        <f t="shared" si="6"/>
        <v>4.8177003754731031E-2</v>
      </c>
    </row>
    <row r="31" spans="2:7" x14ac:dyDescent="0.25">
      <c r="B31" s="50">
        <v>45413</v>
      </c>
      <c r="C31" s="51">
        <f t="shared" si="3"/>
        <v>1928774.22</v>
      </c>
      <c r="D31" s="51">
        <f t="shared" si="4"/>
        <v>146586.84072000001</v>
      </c>
      <c r="E31" s="54">
        <v>52460.82</v>
      </c>
      <c r="F31" s="51">
        <f t="shared" si="5"/>
        <v>94126.02072</v>
      </c>
      <c r="G31" s="52">
        <f t="shared" si="6"/>
        <v>4.8800953343310451E-2</v>
      </c>
    </row>
    <row r="32" spans="2:7" x14ac:dyDescent="0.25">
      <c r="B32" s="50">
        <v>45444</v>
      </c>
      <c r="C32" s="51">
        <f t="shared" si="3"/>
        <v>2508731.33</v>
      </c>
      <c r="D32" s="51">
        <f t="shared" si="4"/>
        <v>190663.58108</v>
      </c>
      <c r="E32" s="54">
        <v>45114.03</v>
      </c>
      <c r="F32" s="51">
        <f t="shared" si="5"/>
        <v>145549.55108</v>
      </c>
      <c r="G32" s="52">
        <f t="shared" si="6"/>
        <v>5.801719352705656E-2</v>
      </c>
    </row>
    <row r="33" spans="2:7" x14ac:dyDescent="0.25">
      <c r="B33" s="50">
        <v>45474</v>
      </c>
      <c r="C33" s="51">
        <f t="shared" si="3"/>
        <v>2842597.23</v>
      </c>
      <c r="D33" s="51">
        <f t="shared" si="4"/>
        <v>216037.38947999998</v>
      </c>
      <c r="E33" s="54">
        <v>51117.760000000002</v>
      </c>
      <c r="F33" s="51">
        <f t="shared" si="5"/>
        <v>164919.62947999997</v>
      </c>
      <c r="G33" s="52">
        <f t="shared" si="6"/>
        <v>5.8017234288235756E-2</v>
      </c>
    </row>
    <row r="34" spans="2:7" x14ac:dyDescent="0.25">
      <c r="B34" s="50">
        <v>45505</v>
      </c>
      <c r="C34" s="51">
        <f t="shared" si="3"/>
        <v>3147520.42</v>
      </c>
      <c r="D34" s="51">
        <f t="shared" si="4"/>
        <v>239211.55192</v>
      </c>
      <c r="E34" s="54">
        <v>46416.74</v>
      </c>
      <c r="F34" s="51">
        <f t="shared" si="5"/>
        <v>192794.81192000001</v>
      </c>
      <c r="G34" s="52">
        <f t="shared" si="6"/>
        <v>6.1252918549770684E-2</v>
      </c>
    </row>
    <row r="35" spans="2:7" x14ac:dyDescent="0.25">
      <c r="B35" s="50">
        <v>45536</v>
      </c>
      <c r="C35" s="51">
        <f t="shared" si="3"/>
        <v>2438920.4</v>
      </c>
      <c r="D35" s="51">
        <f t="shared" si="4"/>
        <v>185357.9504</v>
      </c>
      <c r="E35" s="54">
        <v>50133.99</v>
      </c>
      <c r="F35" s="51">
        <f t="shared" si="5"/>
        <v>135223.96040000001</v>
      </c>
      <c r="G35" s="52">
        <f t="shared" si="6"/>
        <v>5.5444187682386036E-2</v>
      </c>
    </row>
    <row r="36" spans="2:7" x14ac:dyDescent="0.25">
      <c r="B36" s="66" t="s">
        <v>75</v>
      </c>
      <c r="C36" s="66"/>
      <c r="D36" s="66"/>
      <c r="E36" s="66"/>
      <c r="F36" s="66"/>
      <c r="G36" s="53">
        <f>AVERAGE(G24:G35)</f>
        <v>5.2936529080686738E-2</v>
      </c>
    </row>
  </sheetData>
  <mergeCells count="7">
    <mergeCell ref="B36:F36"/>
    <mergeCell ref="B1:G1"/>
    <mergeCell ref="B2:G2"/>
    <mergeCell ref="B3:G3"/>
    <mergeCell ref="B5:G5"/>
    <mergeCell ref="B20:F20"/>
    <mergeCell ref="B22:G22"/>
  </mergeCells>
  <dataValidations count="1">
    <dataValidation type="textLength" showInputMessage="1" showErrorMessage="1" errorTitle="Orientação de Preenchimento" error="Comece o preenchimento pelo primeiro mês do quadro referente ao PIS (destacado em vermelho). _x000a_Digite o mês e ano de referência da seguinte forma:_x000a_01/04/2018 = abril-18_x000a_A planilha preenchera automaticamente os próximos meses." sqref="B5:B7 B21:B23" xr:uid="{B5B835E8-11DA-4021-98B4-84C3D2CC71FC}">
      <formula1>0</formula1>
      <formula2>0</formula2>
    </dataValidation>
  </dataValidation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E16E48AB4586D42A45C302CC26AFF3C" ma:contentTypeVersion="8" ma:contentTypeDescription="Crie um novo documento." ma:contentTypeScope="" ma:versionID="0b23d3ab1c3c27aaa59379cc1b812263">
  <xsd:schema xmlns:xsd="http://www.w3.org/2001/XMLSchema" xmlns:xs="http://www.w3.org/2001/XMLSchema" xmlns:p="http://schemas.microsoft.com/office/2006/metadata/properties" xmlns:ns2="627058b5-be75-41a4-8d0c-12ebf412365c" xmlns:ns3="4d0f8760-14bd-4e5c-83d7-f0fafba68f91" targetNamespace="http://schemas.microsoft.com/office/2006/metadata/properties" ma:root="true" ma:fieldsID="fb5f345e86433b451b94f76548ecce59" ns2:_="" ns3:_="">
    <xsd:import namespace="627058b5-be75-41a4-8d0c-12ebf412365c"/>
    <xsd:import namespace="4d0f8760-14bd-4e5c-83d7-f0fafba68f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7058b5-be75-41a4-8d0c-12ebf41236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0f8760-14bd-4e5c-83d7-f0fafba68f9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BF0F44-E430-4EB9-BA80-7E57E34875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7058b5-be75-41a4-8d0c-12ebf412365c"/>
    <ds:schemaRef ds:uri="4d0f8760-14bd-4e5c-83d7-f0fafba68f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E7A259-3238-4AC8-B0D7-2A64185A23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C23980-7A6D-49FC-9EA7-1AC2E7A67667}">
  <ds:schemaRefs>
    <ds:schemaRef ds:uri="4d0f8760-14bd-4e5c-83d7-f0fafba68f91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627058b5-be75-41a4-8d0c-12ebf412365c"/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COMPOSIÇÃO UNITÁRIA</vt:lpstr>
      <vt:lpstr>BDI ITEM 8</vt:lpstr>
      <vt:lpstr>APURAÇÃO PIS.COFINS PALMACEA</vt:lpstr>
      <vt:lpstr>'COMPOSIÇÃO UNITÁRIA'!Area_de_impressao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 Santiago</dc:creator>
  <cp:lastModifiedBy>LEONARDO DA SILVA SANTOS</cp:lastModifiedBy>
  <cp:lastPrinted>2020-06-25T20:00:15Z</cp:lastPrinted>
  <dcterms:created xsi:type="dcterms:W3CDTF">2020-04-15T20:27:58Z</dcterms:created>
  <dcterms:modified xsi:type="dcterms:W3CDTF">2025-02-04T19:26:26Z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0x0101002E16E48AB4586D42A45C302CC26AFF3C</vt:lpwstr>
  </property>
</Properties>
</file>